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https://fceo2.sharepoint.com/sites/Projects/Mando Dt/Final Hearing/Assmnt Sche/"/>
    </mc:Choice>
  </mc:AlternateContent>
  <xr:revisionPtr revIDLastSave="0" documentId="8_{E5DC3AE7-BCC9-403D-8C00-8FBEB698BFF8}" xr6:coauthVersionLast="47" xr6:coauthVersionMax="47" xr10:uidLastSave="{00000000-0000-0000-0000-000000000000}"/>
  <bookViews>
    <workbookView xWindow="39540" yWindow="1140" windowWidth="28800" windowHeight="15410" firstSheet="15" activeTab="15" xr2:uid="{00000000-000D-0000-FFFF-FFFF00000000}"/>
  </bookViews>
  <sheets>
    <sheet name="Overview" sheetId="6" r:id="rId1"/>
    <sheet name="Estimate" sheetId="8" r:id="rId2"/>
    <sheet name="Estimate (No 4B)" sheetId="15" r:id="rId3"/>
    <sheet name="Estimate (basins)" sheetId="14" r:id="rId4"/>
    <sheet name="Work in ROW" sheetId="7" r:id="rId5"/>
    <sheet name="Area 1" sheetId="2" r:id="rId6"/>
    <sheet name="Area 2" sheetId="3" r:id="rId7"/>
    <sheet name="Area 2 -DA" sheetId="11" r:id="rId8"/>
    <sheet name="Area 3" sheetId="4" r:id="rId9"/>
    <sheet name="Area 3 -DA" sheetId="10" r:id="rId10"/>
    <sheet name="DA comps" sheetId="13" r:id="rId11"/>
    <sheet name="Area 4" sheetId="5" r:id="rId12"/>
    <sheet name="Area 4 (No 4B)" sheetId="16" r:id="rId13"/>
    <sheet name="4B Comps" sheetId="17" r:id="rId14"/>
    <sheet name="Parcel Summary" sheetId="9" r:id="rId15"/>
    <sheet name="Parcel Summary -DA" sheetId="12" r:id="rId16"/>
  </sheets>
  <definedNames>
    <definedName name="_xlnm.Print_Area" localSheetId="5">'Area 1'!$A$1:$W$25</definedName>
    <definedName name="_xlnm.Print_Area" localSheetId="6">'Area 2'!$A$1:$Z$63</definedName>
    <definedName name="_xlnm.Print_Area" localSheetId="7">'Area 2 -DA'!$A$1:$Z$63</definedName>
    <definedName name="_xlnm.Print_Area" localSheetId="8">'Area 3'!$A$1:$X$46</definedName>
    <definedName name="_xlnm.Print_Area" localSheetId="9">'Area 3 -DA'!$A$1:$X$46</definedName>
    <definedName name="_xlnm.Print_Area" localSheetId="11">'Area 4'!$A$1:$X$47</definedName>
    <definedName name="_xlnm.Print_Area" localSheetId="12">'Area 4 (No 4B)'!$A$1:$X$47</definedName>
    <definedName name="_xlnm.Print_Area" localSheetId="4">'Work in ROW'!$A$1:$F$38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6" i="12" l="1"/>
  <c r="K4" i="17" l="1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3" i="17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3" i="17"/>
  <c r="D20" i="6" l="1"/>
  <c r="T3" i="5"/>
  <c r="Q3" i="2"/>
  <c r="J15" i="17"/>
  <c r="J14" i="17"/>
  <c r="J13" i="17"/>
  <c r="J12" i="17"/>
  <c r="J11" i="17"/>
  <c r="J10" i="17"/>
  <c r="J9" i="17"/>
  <c r="J8" i="17"/>
  <c r="J7" i="17"/>
  <c r="J6" i="17"/>
  <c r="J5" i="17"/>
  <c r="J4" i="17"/>
  <c r="L3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3" i="17"/>
  <c r="L4" i="17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M14" i="13"/>
  <c r="F35" i="17"/>
  <c r="F4" i="17"/>
  <c r="F32" i="17"/>
  <c r="F34" i="17"/>
  <c r="F24" i="17"/>
  <c r="F7" i="17"/>
  <c r="F14" i="17"/>
  <c r="F11" i="17"/>
  <c r="F10" i="17"/>
  <c r="F8" i="17"/>
  <c r="F17" i="17"/>
  <c r="F13" i="17"/>
  <c r="F12" i="17"/>
  <c r="F9" i="17"/>
  <c r="F5" i="17"/>
  <c r="F20" i="17"/>
  <c r="F6" i="17"/>
  <c r="F26" i="17"/>
  <c r="F27" i="17"/>
  <c r="F23" i="17"/>
  <c r="F22" i="17"/>
  <c r="F41" i="17"/>
  <c r="F15" i="17"/>
  <c r="F16" i="17"/>
  <c r="F18" i="17"/>
  <c r="F19" i="17"/>
  <c r="F29" i="17"/>
  <c r="F31" i="17"/>
  <c r="F28" i="17"/>
  <c r="F33" i="17"/>
  <c r="F37" i="17"/>
  <c r="F40" i="17"/>
  <c r="F39" i="17"/>
  <c r="F38" i="17"/>
  <c r="F36" i="17"/>
  <c r="F25" i="17"/>
  <c r="F21" i="17"/>
  <c r="F30" i="17"/>
  <c r="F3" i="17"/>
  <c r="M5" i="13"/>
  <c r="M49" i="16"/>
  <c r="N41" i="16"/>
  <c r="Q41" i="16" s="1"/>
  <c r="T41" i="16" s="1"/>
  <c r="Q40" i="16"/>
  <c r="T40" i="16" s="1"/>
  <c r="Q39" i="16"/>
  <c r="T39" i="16" s="1"/>
  <c r="N38" i="16"/>
  <c r="Q38" i="16" s="1"/>
  <c r="T38" i="16" s="1"/>
  <c r="N37" i="16"/>
  <c r="Q37" i="16" s="1"/>
  <c r="T37" i="16" s="1"/>
  <c r="N36" i="16"/>
  <c r="Q36" i="16" s="1"/>
  <c r="T36" i="16" s="1"/>
  <c r="N35" i="16"/>
  <c r="Q35" i="16" s="1"/>
  <c r="T35" i="16" s="1"/>
  <c r="N34" i="16"/>
  <c r="L34" i="16"/>
  <c r="N33" i="16"/>
  <c r="Q33" i="16" s="1"/>
  <c r="T33" i="16" s="1"/>
  <c r="Q32" i="16"/>
  <c r="T32" i="16" s="1"/>
  <c r="N31" i="16"/>
  <c r="Q31" i="16" s="1"/>
  <c r="T31" i="16" s="1"/>
  <c r="N30" i="16"/>
  <c r="Q30" i="16" s="1"/>
  <c r="T30" i="16" s="1"/>
  <c r="N29" i="16"/>
  <c r="Q29" i="16" s="1"/>
  <c r="T29" i="16" s="1"/>
  <c r="Q28" i="16"/>
  <c r="T28" i="16" s="1"/>
  <c r="Q27" i="16"/>
  <c r="T27" i="16" s="1"/>
  <c r="Q26" i="16"/>
  <c r="T26" i="16" s="1"/>
  <c r="Q25" i="16"/>
  <c r="T25" i="16" s="1"/>
  <c r="N24" i="16"/>
  <c r="Q24" i="16" s="1"/>
  <c r="T24" i="16" s="1"/>
  <c r="N23" i="16"/>
  <c r="Q23" i="16" s="1"/>
  <c r="T23" i="16" s="1"/>
  <c r="Q22" i="16"/>
  <c r="T22" i="16" s="1"/>
  <c r="Q21" i="16"/>
  <c r="T21" i="16" s="1"/>
  <c r="Q20" i="16"/>
  <c r="T20" i="16" s="1"/>
  <c r="Q19" i="16"/>
  <c r="T19" i="16" s="1"/>
  <c r="Q18" i="16"/>
  <c r="T18" i="16" s="1"/>
  <c r="Q17" i="16"/>
  <c r="T17" i="16" s="1"/>
  <c r="Q16" i="16"/>
  <c r="T16" i="16" s="1"/>
  <c r="Q15" i="16"/>
  <c r="T15" i="16" s="1"/>
  <c r="Q14" i="16"/>
  <c r="T14" i="16" s="1"/>
  <c r="Q13" i="16"/>
  <c r="T13" i="16" s="1"/>
  <c r="Q12" i="16"/>
  <c r="T12" i="16" s="1"/>
  <c r="Q11" i="16"/>
  <c r="T11" i="16" s="1"/>
  <c r="Q10" i="16"/>
  <c r="T10" i="16" s="1"/>
  <c r="Q9" i="16"/>
  <c r="T9" i="16" s="1"/>
  <c r="N8" i="16"/>
  <c r="Q8" i="16" s="1"/>
  <c r="T8" i="16" s="1"/>
  <c r="N7" i="16"/>
  <c r="Q7" i="16" s="1"/>
  <c r="T7" i="16" s="1"/>
  <c r="N6" i="16"/>
  <c r="Q5" i="16"/>
  <c r="T5" i="16" s="1"/>
  <c r="Q4" i="16"/>
  <c r="T4" i="16" s="1"/>
  <c r="V3" i="16"/>
  <c r="V42" i="16" s="1"/>
  <c r="K3" i="16"/>
  <c r="O3" i="16" s="1"/>
  <c r="Q3" i="16" s="1"/>
  <c r="T3" i="16" s="1"/>
  <c r="L64" i="15"/>
  <c r="J64" i="15"/>
  <c r="H64" i="15"/>
  <c r="F64" i="15"/>
  <c r="N63" i="15"/>
  <c r="N62" i="15"/>
  <c r="M61" i="15"/>
  <c r="N61" i="15" s="1"/>
  <c r="L61" i="15"/>
  <c r="J61" i="15"/>
  <c r="H61" i="15"/>
  <c r="F61" i="15"/>
  <c r="M60" i="15"/>
  <c r="N60" i="15" s="1"/>
  <c r="L60" i="15"/>
  <c r="J60" i="15"/>
  <c r="H60" i="15"/>
  <c r="F60" i="15"/>
  <c r="M59" i="15"/>
  <c r="N59" i="15" s="1"/>
  <c r="L59" i="15"/>
  <c r="J59" i="15"/>
  <c r="H59" i="15"/>
  <c r="F59" i="15"/>
  <c r="M57" i="15"/>
  <c r="N57" i="15" s="1"/>
  <c r="L57" i="15"/>
  <c r="J57" i="15"/>
  <c r="H57" i="15"/>
  <c r="F57" i="15"/>
  <c r="M55" i="15"/>
  <c r="N55" i="15" s="1"/>
  <c r="L55" i="15"/>
  <c r="J55" i="15"/>
  <c r="H55" i="15"/>
  <c r="F55" i="15"/>
  <c r="M54" i="15"/>
  <c r="N54" i="15" s="1"/>
  <c r="L54" i="15"/>
  <c r="J54" i="15"/>
  <c r="H54" i="15"/>
  <c r="F54" i="15"/>
  <c r="M52" i="15"/>
  <c r="N52" i="15" s="1"/>
  <c r="L52" i="15"/>
  <c r="J52" i="15"/>
  <c r="H52" i="15"/>
  <c r="F52" i="15"/>
  <c r="M51" i="15"/>
  <c r="N51" i="15" s="1"/>
  <c r="L51" i="15"/>
  <c r="J51" i="15"/>
  <c r="H51" i="15"/>
  <c r="F51" i="15"/>
  <c r="M50" i="15"/>
  <c r="N50" i="15" s="1"/>
  <c r="L50" i="15"/>
  <c r="J50" i="15"/>
  <c r="H50" i="15"/>
  <c r="F50" i="15"/>
  <c r="M49" i="15"/>
  <c r="N49" i="15" s="1"/>
  <c r="L49" i="15"/>
  <c r="J49" i="15"/>
  <c r="H49" i="15"/>
  <c r="F49" i="15"/>
  <c r="M48" i="15"/>
  <c r="N48" i="15" s="1"/>
  <c r="L48" i="15"/>
  <c r="J48" i="15"/>
  <c r="H48" i="15"/>
  <c r="F48" i="15"/>
  <c r="M47" i="15"/>
  <c r="N47" i="15" s="1"/>
  <c r="L47" i="15"/>
  <c r="J47" i="15"/>
  <c r="H47" i="15"/>
  <c r="F47" i="15"/>
  <c r="M46" i="15"/>
  <c r="N46" i="15" s="1"/>
  <c r="L46" i="15"/>
  <c r="J46" i="15"/>
  <c r="H46" i="15"/>
  <c r="F46" i="15"/>
  <c r="M45" i="15"/>
  <c r="N45" i="15" s="1"/>
  <c r="L45" i="15"/>
  <c r="J45" i="15"/>
  <c r="H45" i="15"/>
  <c r="F45" i="15"/>
  <c r="N44" i="15"/>
  <c r="M44" i="15"/>
  <c r="L44" i="15"/>
  <c r="J44" i="15"/>
  <c r="H44" i="15"/>
  <c r="F44" i="15"/>
  <c r="M43" i="15"/>
  <c r="N43" i="15" s="1"/>
  <c r="L43" i="15"/>
  <c r="J43" i="15"/>
  <c r="H43" i="15"/>
  <c r="F43" i="15"/>
  <c r="M42" i="15"/>
  <c r="N42" i="15" s="1"/>
  <c r="L42" i="15"/>
  <c r="J42" i="15"/>
  <c r="H42" i="15"/>
  <c r="F42" i="15"/>
  <c r="M41" i="15"/>
  <c r="N41" i="15" s="1"/>
  <c r="L41" i="15"/>
  <c r="J41" i="15"/>
  <c r="H41" i="15"/>
  <c r="F41" i="15"/>
  <c r="M40" i="15"/>
  <c r="N40" i="15" s="1"/>
  <c r="L40" i="15"/>
  <c r="J40" i="15"/>
  <c r="H40" i="15"/>
  <c r="F40" i="15"/>
  <c r="M39" i="15"/>
  <c r="N39" i="15" s="1"/>
  <c r="L39" i="15"/>
  <c r="J39" i="15"/>
  <c r="H39" i="15"/>
  <c r="F39" i="15"/>
  <c r="M38" i="15"/>
  <c r="N38" i="15" s="1"/>
  <c r="L38" i="15"/>
  <c r="J38" i="15"/>
  <c r="H38" i="15"/>
  <c r="F38" i="15"/>
  <c r="M37" i="15"/>
  <c r="N37" i="15" s="1"/>
  <c r="L37" i="15"/>
  <c r="J37" i="15"/>
  <c r="H37" i="15"/>
  <c r="F37" i="15"/>
  <c r="M36" i="15"/>
  <c r="N36" i="15" s="1"/>
  <c r="L36" i="15"/>
  <c r="J36" i="15"/>
  <c r="H36" i="15"/>
  <c r="F36" i="15"/>
  <c r="M35" i="15"/>
  <c r="N35" i="15" s="1"/>
  <c r="L35" i="15"/>
  <c r="J35" i="15"/>
  <c r="H35" i="15"/>
  <c r="F35" i="15"/>
  <c r="M34" i="15"/>
  <c r="N34" i="15" s="1"/>
  <c r="L34" i="15"/>
  <c r="J34" i="15"/>
  <c r="H34" i="15"/>
  <c r="F34" i="15"/>
  <c r="M33" i="15"/>
  <c r="N33" i="15" s="1"/>
  <c r="L33" i="15"/>
  <c r="J33" i="15"/>
  <c r="H33" i="15"/>
  <c r="F33" i="15"/>
  <c r="M32" i="15"/>
  <c r="N32" i="15" s="1"/>
  <c r="L32" i="15"/>
  <c r="J32" i="15"/>
  <c r="H32" i="15"/>
  <c r="F32" i="15"/>
  <c r="M31" i="15"/>
  <c r="N31" i="15" s="1"/>
  <c r="L31" i="15"/>
  <c r="J31" i="15"/>
  <c r="H31" i="15"/>
  <c r="F31" i="15"/>
  <c r="M30" i="15"/>
  <c r="N30" i="15" s="1"/>
  <c r="L30" i="15"/>
  <c r="J30" i="15"/>
  <c r="H30" i="15"/>
  <c r="F30" i="15"/>
  <c r="M29" i="15"/>
  <c r="N29" i="15" s="1"/>
  <c r="L29" i="15"/>
  <c r="J29" i="15"/>
  <c r="H29" i="15"/>
  <c r="F29" i="15"/>
  <c r="M28" i="15"/>
  <c r="N28" i="15" s="1"/>
  <c r="L28" i="15"/>
  <c r="J28" i="15"/>
  <c r="H28" i="15"/>
  <c r="F28" i="15"/>
  <c r="M26" i="15"/>
  <c r="N26" i="15" s="1"/>
  <c r="L26" i="15"/>
  <c r="J26" i="15"/>
  <c r="H26" i="15"/>
  <c r="F26" i="15"/>
  <c r="M25" i="15"/>
  <c r="N25" i="15" s="1"/>
  <c r="L25" i="15"/>
  <c r="J25" i="15"/>
  <c r="H25" i="15"/>
  <c r="F25" i="15"/>
  <c r="M24" i="15"/>
  <c r="N24" i="15" s="1"/>
  <c r="L24" i="15"/>
  <c r="J24" i="15"/>
  <c r="H24" i="15"/>
  <c r="F24" i="15"/>
  <c r="M23" i="15"/>
  <c r="N23" i="15" s="1"/>
  <c r="L23" i="15"/>
  <c r="J23" i="15"/>
  <c r="H23" i="15"/>
  <c r="F23" i="15"/>
  <c r="M22" i="15"/>
  <c r="N22" i="15" s="1"/>
  <c r="L22" i="15"/>
  <c r="J22" i="15"/>
  <c r="H22" i="15"/>
  <c r="F22" i="15"/>
  <c r="N21" i="15"/>
  <c r="M21" i="15"/>
  <c r="L21" i="15"/>
  <c r="J21" i="15"/>
  <c r="H21" i="15"/>
  <c r="F21" i="15"/>
  <c r="N19" i="15"/>
  <c r="M19" i="15"/>
  <c r="L19" i="15"/>
  <c r="J19" i="15"/>
  <c r="H19" i="15"/>
  <c r="F19" i="15"/>
  <c r="M18" i="15"/>
  <c r="N18" i="15" s="1"/>
  <c r="L18" i="15"/>
  <c r="J18" i="15"/>
  <c r="H18" i="15"/>
  <c r="F18" i="15"/>
  <c r="M17" i="15"/>
  <c r="N17" i="15" s="1"/>
  <c r="L17" i="15"/>
  <c r="J17" i="15"/>
  <c r="H17" i="15"/>
  <c r="F17" i="15"/>
  <c r="M16" i="15"/>
  <c r="N16" i="15" s="1"/>
  <c r="L16" i="15"/>
  <c r="J16" i="15"/>
  <c r="H16" i="15"/>
  <c r="F16" i="15"/>
  <c r="M15" i="15"/>
  <c r="N15" i="15" s="1"/>
  <c r="L15" i="15"/>
  <c r="J15" i="15"/>
  <c r="H15" i="15"/>
  <c r="F15" i="15"/>
  <c r="M14" i="15"/>
  <c r="N14" i="15" s="1"/>
  <c r="L14" i="15"/>
  <c r="J14" i="15"/>
  <c r="H14" i="15"/>
  <c r="F14" i="15"/>
  <c r="M13" i="15"/>
  <c r="N13" i="15" s="1"/>
  <c r="L13" i="15"/>
  <c r="J13" i="15"/>
  <c r="H13" i="15"/>
  <c r="F13" i="15"/>
  <c r="M12" i="15"/>
  <c r="N12" i="15" s="1"/>
  <c r="L12" i="15"/>
  <c r="J12" i="15"/>
  <c r="H12" i="15"/>
  <c r="F12" i="15"/>
  <c r="M11" i="15"/>
  <c r="N11" i="15" s="1"/>
  <c r="L11" i="15"/>
  <c r="J11" i="15"/>
  <c r="H11" i="15"/>
  <c r="F11" i="15"/>
  <c r="M10" i="15"/>
  <c r="N10" i="15" s="1"/>
  <c r="L10" i="15"/>
  <c r="J10" i="15"/>
  <c r="H10" i="15"/>
  <c r="F10" i="15"/>
  <c r="M9" i="15"/>
  <c r="N9" i="15" s="1"/>
  <c r="L9" i="15"/>
  <c r="J9" i="15"/>
  <c r="H9" i="15"/>
  <c r="F9" i="15"/>
  <c r="M8" i="15"/>
  <c r="N8" i="15" s="1"/>
  <c r="L8" i="15"/>
  <c r="J8" i="15"/>
  <c r="H8" i="15"/>
  <c r="F8" i="15"/>
  <c r="M7" i="15"/>
  <c r="N7" i="15" s="1"/>
  <c r="L7" i="15"/>
  <c r="J7" i="15"/>
  <c r="H7" i="15"/>
  <c r="F7" i="15"/>
  <c r="M6" i="15"/>
  <c r="N6" i="15" s="1"/>
  <c r="L6" i="15"/>
  <c r="J6" i="15"/>
  <c r="H6" i="15"/>
  <c r="F6" i="15"/>
  <c r="M5" i="15"/>
  <c r="N5" i="15" s="1"/>
  <c r="L5" i="15"/>
  <c r="J5" i="15"/>
  <c r="H5" i="15"/>
  <c r="F5" i="15"/>
  <c r="M4" i="15"/>
  <c r="N4" i="15" s="1"/>
  <c r="L4" i="15"/>
  <c r="J4" i="15"/>
  <c r="H4" i="15"/>
  <c r="F4" i="15"/>
  <c r="M3" i="15"/>
  <c r="N3" i="15" s="1"/>
  <c r="L3" i="15"/>
  <c r="J3" i="15"/>
  <c r="H3" i="15"/>
  <c r="F3" i="15"/>
  <c r="N28" i="7"/>
  <c r="F29" i="7"/>
  <c r="N63" i="8"/>
  <c r="N62" i="8"/>
  <c r="M61" i="8"/>
  <c r="L61" i="8"/>
  <c r="J61" i="8"/>
  <c r="H61" i="8"/>
  <c r="F61" i="8"/>
  <c r="M60" i="8"/>
  <c r="L60" i="8"/>
  <c r="J60" i="8"/>
  <c r="H60" i="8"/>
  <c r="F60" i="8"/>
  <c r="M59" i="8"/>
  <c r="L59" i="8"/>
  <c r="J59" i="8"/>
  <c r="H59" i="8"/>
  <c r="F59" i="8"/>
  <c r="M57" i="8"/>
  <c r="L57" i="8"/>
  <c r="J57" i="8"/>
  <c r="H57" i="8"/>
  <c r="F57" i="8"/>
  <c r="M55" i="8"/>
  <c r="L55" i="8"/>
  <c r="J55" i="8"/>
  <c r="H55" i="8"/>
  <c r="F55" i="8"/>
  <c r="M54" i="8"/>
  <c r="L54" i="8"/>
  <c r="J54" i="8"/>
  <c r="H54" i="8"/>
  <c r="F54" i="8"/>
  <c r="M52" i="8"/>
  <c r="L52" i="8"/>
  <c r="J52" i="8"/>
  <c r="H52" i="8"/>
  <c r="F52" i="8"/>
  <c r="M51" i="8"/>
  <c r="L51" i="8"/>
  <c r="J51" i="8"/>
  <c r="H51" i="8"/>
  <c r="F51" i="8"/>
  <c r="M50" i="8"/>
  <c r="L50" i="8"/>
  <c r="J50" i="8"/>
  <c r="H50" i="8"/>
  <c r="F50" i="8"/>
  <c r="M49" i="8"/>
  <c r="L49" i="8"/>
  <c r="J49" i="8"/>
  <c r="H49" i="8"/>
  <c r="F49" i="8"/>
  <c r="M48" i="8"/>
  <c r="L48" i="8"/>
  <c r="J48" i="8"/>
  <c r="H48" i="8"/>
  <c r="F48" i="8"/>
  <c r="M47" i="8"/>
  <c r="L47" i="8"/>
  <c r="J47" i="8"/>
  <c r="H47" i="8"/>
  <c r="F47" i="8"/>
  <c r="M46" i="8"/>
  <c r="L46" i="8"/>
  <c r="J46" i="8"/>
  <c r="H46" i="8"/>
  <c r="F46" i="8"/>
  <c r="M45" i="8"/>
  <c r="L45" i="8"/>
  <c r="J45" i="8"/>
  <c r="H45" i="8"/>
  <c r="F45" i="8"/>
  <c r="M44" i="8"/>
  <c r="L44" i="8"/>
  <c r="J44" i="8"/>
  <c r="H44" i="8"/>
  <c r="F44" i="8"/>
  <c r="M43" i="8"/>
  <c r="L43" i="8"/>
  <c r="J43" i="8"/>
  <c r="H43" i="8"/>
  <c r="F43" i="8"/>
  <c r="M42" i="8"/>
  <c r="L42" i="8"/>
  <c r="J42" i="8"/>
  <c r="H42" i="8"/>
  <c r="F42" i="8"/>
  <c r="M41" i="8"/>
  <c r="L41" i="8"/>
  <c r="J41" i="8"/>
  <c r="H41" i="8"/>
  <c r="F41" i="8"/>
  <c r="M40" i="8"/>
  <c r="L40" i="8"/>
  <c r="J40" i="8"/>
  <c r="H40" i="8"/>
  <c r="F40" i="8"/>
  <c r="M39" i="8"/>
  <c r="L39" i="8"/>
  <c r="J39" i="8"/>
  <c r="H39" i="8"/>
  <c r="F39" i="8"/>
  <c r="M38" i="8"/>
  <c r="L38" i="8"/>
  <c r="J38" i="8"/>
  <c r="H38" i="8"/>
  <c r="F38" i="8"/>
  <c r="M37" i="8"/>
  <c r="L37" i="8"/>
  <c r="J37" i="8"/>
  <c r="H37" i="8"/>
  <c r="F37" i="8"/>
  <c r="M36" i="8"/>
  <c r="L36" i="8"/>
  <c r="J36" i="8"/>
  <c r="H36" i="8"/>
  <c r="F36" i="8"/>
  <c r="M35" i="8"/>
  <c r="L35" i="8"/>
  <c r="J35" i="8"/>
  <c r="H35" i="8"/>
  <c r="F35" i="8"/>
  <c r="M34" i="8"/>
  <c r="L34" i="8"/>
  <c r="J34" i="8"/>
  <c r="H34" i="8"/>
  <c r="F34" i="8"/>
  <c r="M33" i="8"/>
  <c r="L33" i="8"/>
  <c r="J33" i="8"/>
  <c r="H33" i="8"/>
  <c r="F33" i="8"/>
  <c r="M32" i="8"/>
  <c r="L32" i="8"/>
  <c r="J32" i="8"/>
  <c r="H32" i="8"/>
  <c r="F32" i="8"/>
  <c r="M31" i="8"/>
  <c r="N31" i="8" s="1"/>
  <c r="L31" i="8"/>
  <c r="J31" i="8"/>
  <c r="H31" i="8"/>
  <c r="F31" i="8"/>
  <c r="M30" i="8"/>
  <c r="L30" i="8"/>
  <c r="J30" i="8"/>
  <c r="H30" i="8"/>
  <c r="F30" i="8"/>
  <c r="M29" i="8"/>
  <c r="L29" i="8"/>
  <c r="J29" i="8"/>
  <c r="H29" i="8"/>
  <c r="F29" i="8"/>
  <c r="M28" i="8"/>
  <c r="L28" i="8"/>
  <c r="J28" i="8"/>
  <c r="H28" i="8"/>
  <c r="F28" i="8"/>
  <c r="M26" i="8"/>
  <c r="L26" i="8"/>
  <c r="J26" i="8"/>
  <c r="H26" i="8"/>
  <c r="F26" i="8"/>
  <c r="M25" i="8"/>
  <c r="L25" i="8"/>
  <c r="J25" i="8"/>
  <c r="H25" i="8"/>
  <c r="F25" i="8"/>
  <c r="M24" i="8"/>
  <c r="L24" i="8"/>
  <c r="J24" i="8"/>
  <c r="H24" i="8"/>
  <c r="F24" i="8"/>
  <c r="M23" i="8"/>
  <c r="L23" i="8"/>
  <c r="J23" i="8"/>
  <c r="H23" i="8"/>
  <c r="F23" i="8"/>
  <c r="M22" i="8"/>
  <c r="L22" i="8"/>
  <c r="J22" i="8"/>
  <c r="H22" i="8"/>
  <c r="F22" i="8"/>
  <c r="M21" i="8"/>
  <c r="L21" i="8"/>
  <c r="J21" i="8"/>
  <c r="H21" i="8"/>
  <c r="F21" i="8"/>
  <c r="M19" i="8"/>
  <c r="L19" i="8"/>
  <c r="J19" i="8"/>
  <c r="H19" i="8"/>
  <c r="F19" i="8"/>
  <c r="M18" i="8"/>
  <c r="L18" i="8"/>
  <c r="J18" i="8"/>
  <c r="H18" i="8"/>
  <c r="F18" i="8"/>
  <c r="M17" i="8"/>
  <c r="L17" i="8"/>
  <c r="J17" i="8"/>
  <c r="H17" i="8"/>
  <c r="F17" i="8"/>
  <c r="M16" i="8"/>
  <c r="L16" i="8"/>
  <c r="J16" i="8"/>
  <c r="H16" i="8"/>
  <c r="F16" i="8"/>
  <c r="M15" i="8"/>
  <c r="L15" i="8"/>
  <c r="J15" i="8"/>
  <c r="H15" i="8"/>
  <c r="F15" i="8"/>
  <c r="M14" i="8"/>
  <c r="L14" i="8"/>
  <c r="J14" i="8"/>
  <c r="H14" i="8"/>
  <c r="F14" i="8"/>
  <c r="M13" i="8"/>
  <c r="L13" i="8"/>
  <c r="J13" i="8"/>
  <c r="H13" i="8"/>
  <c r="F13" i="8"/>
  <c r="M12" i="8"/>
  <c r="L12" i="8"/>
  <c r="J12" i="8"/>
  <c r="H12" i="8"/>
  <c r="F12" i="8"/>
  <c r="M11" i="8"/>
  <c r="L11" i="8"/>
  <c r="J11" i="8"/>
  <c r="H11" i="8"/>
  <c r="F11" i="8"/>
  <c r="M10" i="8"/>
  <c r="L10" i="8"/>
  <c r="J10" i="8"/>
  <c r="H10" i="8"/>
  <c r="F10" i="8"/>
  <c r="M9" i="8"/>
  <c r="L9" i="8"/>
  <c r="J9" i="8"/>
  <c r="H9" i="8"/>
  <c r="F9" i="8"/>
  <c r="M8" i="8"/>
  <c r="L8" i="8"/>
  <c r="J8" i="8"/>
  <c r="H8" i="8"/>
  <c r="F8" i="8"/>
  <c r="M7" i="8"/>
  <c r="L7" i="8"/>
  <c r="J7" i="8"/>
  <c r="H7" i="8"/>
  <c r="F7" i="8"/>
  <c r="M6" i="8"/>
  <c r="L6" i="8"/>
  <c r="J6" i="8"/>
  <c r="H6" i="8"/>
  <c r="F6" i="8"/>
  <c r="M5" i="8"/>
  <c r="L5" i="8"/>
  <c r="J5" i="8"/>
  <c r="H5" i="8"/>
  <c r="F5" i="8"/>
  <c r="M4" i="8"/>
  <c r="L4" i="8"/>
  <c r="J4" i="8"/>
  <c r="H4" i="8"/>
  <c r="F4" i="8"/>
  <c r="M3" i="8"/>
  <c r="L3" i="8"/>
  <c r="J3" i="8"/>
  <c r="H3" i="8"/>
  <c r="F3" i="8"/>
  <c r="M65" i="14"/>
  <c r="L65" i="14"/>
  <c r="J65" i="14"/>
  <c r="H65" i="14"/>
  <c r="F65" i="14"/>
  <c r="N64" i="14"/>
  <c r="N63" i="14"/>
  <c r="M62" i="14"/>
  <c r="L62" i="14"/>
  <c r="J62" i="14"/>
  <c r="H62" i="14"/>
  <c r="F62" i="14"/>
  <c r="M61" i="14"/>
  <c r="L61" i="14"/>
  <c r="J61" i="14"/>
  <c r="H61" i="14"/>
  <c r="F61" i="14"/>
  <c r="M60" i="14"/>
  <c r="L60" i="14"/>
  <c r="J60" i="14"/>
  <c r="H60" i="14"/>
  <c r="F60" i="14"/>
  <c r="M58" i="14"/>
  <c r="L58" i="14"/>
  <c r="J58" i="14"/>
  <c r="H58" i="14"/>
  <c r="F58" i="14"/>
  <c r="M56" i="14"/>
  <c r="L56" i="14"/>
  <c r="J56" i="14"/>
  <c r="H56" i="14"/>
  <c r="F56" i="14"/>
  <c r="M55" i="14"/>
  <c r="L55" i="14"/>
  <c r="J55" i="14"/>
  <c r="H55" i="14"/>
  <c r="F55" i="14"/>
  <c r="M53" i="14"/>
  <c r="L53" i="14"/>
  <c r="J53" i="14"/>
  <c r="H53" i="14"/>
  <c r="F53" i="14"/>
  <c r="M52" i="14"/>
  <c r="L52" i="14"/>
  <c r="J52" i="14"/>
  <c r="H52" i="14"/>
  <c r="F52" i="14"/>
  <c r="M51" i="14"/>
  <c r="L51" i="14"/>
  <c r="J51" i="14"/>
  <c r="H51" i="14"/>
  <c r="F51" i="14"/>
  <c r="M50" i="14"/>
  <c r="L50" i="14"/>
  <c r="J50" i="14"/>
  <c r="H50" i="14"/>
  <c r="F50" i="14"/>
  <c r="M49" i="14"/>
  <c r="L49" i="14"/>
  <c r="J49" i="14"/>
  <c r="H49" i="14"/>
  <c r="F49" i="14"/>
  <c r="M48" i="14"/>
  <c r="L48" i="14"/>
  <c r="J48" i="14"/>
  <c r="H48" i="14"/>
  <c r="F48" i="14"/>
  <c r="M47" i="14"/>
  <c r="L47" i="14"/>
  <c r="J47" i="14"/>
  <c r="H47" i="14"/>
  <c r="F47" i="14"/>
  <c r="M46" i="14"/>
  <c r="L46" i="14"/>
  <c r="J46" i="14"/>
  <c r="H46" i="14"/>
  <c r="F46" i="14"/>
  <c r="M45" i="14"/>
  <c r="L45" i="14"/>
  <c r="J45" i="14"/>
  <c r="H45" i="14"/>
  <c r="F45" i="14"/>
  <c r="M44" i="14"/>
  <c r="L44" i="14"/>
  <c r="J44" i="14"/>
  <c r="H44" i="14"/>
  <c r="F44" i="14"/>
  <c r="M43" i="14"/>
  <c r="L43" i="14"/>
  <c r="J43" i="14"/>
  <c r="H43" i="14"/>
  <c r="F43" i="14"/>
  <c r="M42" i="14"/>
  <c r="L42" i="14"/>
  <c r="J42" i="14"/>
  <c r="H42" i="14"/>
  <c r="F42" i="14"/>
  <c r="M41" i="14"/>
  <c r="L41" i="14"/>
  <c r="J41" i="14"/>
  <c r="H41" i="14"/>
  <c r="F41" i="14"/>
  <c r="M40" i="14"/>
  <c r="L40" i="14"/>
  <c r="J40" i="14"/>
  <c r="H40" i="14"/>
  <c r="F40" i="14"/>
  <c r="K39" i="14"/>
  <c r="J39" i="14"/>
  <c r="H39" i="14"/>
  <c r="F39" i="14"/>
  <c r="M38" i="14"/>
  <c r="L38" i="14"/>
  <c r="J38" i="14"/>
  <c r="H38" i="14"/>
  <c r="F38" i="14"/>
  <c r="M37" i="14"/>
  <c r="L37" i="14"/>
  <c r="J37" i="14"/>
  <c r="H37" i="14"/>
  <c r="F37" i="14"/>
  <c r="K36" i="14"/>
  <c r="J36" i="14"/>
  <c r="H36" i="14"/>
  <c r="F36" i="14"/>
  <c r="M35" i="14"/>
  <c r="L35" i="14"/>
  <c r="J35" i="14"/>
  <c r="H35" i="14"/>
  <c r="F35" i="14"/>
  <c r="K34" i="14"/>
  <c r="J34" i="14"/>
  <c r="H34" i="14"/>
  <c r="F34" i="14"/>
  <c r="N33" i="14"/>
  <c r="M33" i="14"/>
  <c r="L33" i="14"/>
  <c r="J33" i="14"/>
  <c r="H33" i="14"/>
  <c r="F33" i="14"/>
  <c r="M32" i="14"/>
  <c r="L32" i="14"/>
  <c r="J32" i="14"/>
  <c r="H32" i="14"/>
  <c r="F32" i="14"/>
  <c r="L31" i="14"/>
  <c r="I31" i="14"/>
  <c r="H31" i="14"/>
  <c r="F31" i="14"/>
  <c r="M30" i="14"/>
  <c r="L30" i="14"/>
  <c r="J30" i="14"/>
  <c r="H30" i="14"/>
  <c r="F30" i="14"/>
  <c r="K29" i="14"/>
  <c r="I29" i="14"/>
  <c r="H29" i="14"/>
  <c r="F29" i="14"/>
  <c r="M28" i="14"/>
  <c r="L28" i="14"/>
  <c r="J28" i="14"/>
  <c r="H28" i="14"/>
  <c r="F28" i="14"/>
  <c r="M26" i="14"/>
  <c r="L26" i="14"/>
  <c r="J26" i="14"/>
  <c r="H26" i="14"/>
  <c r="F26" i="14"/>
  <c r="M25" i="14"/>
  <c r="L25" i="14"/>
  <c r="J25" i="14"/>
  <c r="H25" i="14"/>
  <c r="F25" i="14"/>
  <c r="K24" i="14"/>
  <c r="I24" i="14"/>
  <c r="H24" i="14"/>
  <c r="F24" i="14"/>
  <c r="K23" i="14"/>
  <c r="I23" i="14"/>
  <c r="H23" i="14"/>
  <c r="F23" i="14"/>
  <c r="M22" i="14"/>
  <c r="L22" i="14"/>
  <c r="J22" i="14"/>
  <c r="H22" i="14"/>
  <c r="F22" i="14"/>
  <c r="M21" i="14"/>
  <c r="L21" i="14"/>
  <c r="J21" i="14"/>
  <c r="H21" i="14"/>
  <c r="F21" i="14"/>
  <c r="M19" i="14"/>
  <c r="L19" i="14"/>
  <c r="J19" i="14"/>
  <c r="H19" i="14"/>
  <c r="F19" i="14"/>
  <c r="M18" i="14"/>
  <c r="L18" i="14"/>
  <c r="J18" i="14"/>
  <c r="H18" i="14"/>
  <c r="F18" i="14"/>
  <c r="M17" i="14"/>
  <c r="L17" i="14"/>
  <c r="J17" i="14"/>
  <c r="H17" i="14"/>
  <c r="F17" i="14"/>
  <c r="M16" i="14"/>
  <c r="L16" i="14"/>
  <c r="J16" i="14"/>
  <c r="H16" i="14"/>
  <c r="F16" i="14"/>
  <c r="K15" i="14"/>
  <c r="J15" i="14"/>
  <c r="I15" i="14"/>
  <c r="H15" i="14"/>
  <c r="F15" i="14"/>
  <c r="M14" i="14"/>
  <c r="L14" i="14"/>
  <c r="J14" i="14"/>
  <c r="H14" i="14"/>
  <c r="F14" i="14"/>
  <c r="M13" i="14"/>
  <c r="L13" i="14"/>
  <c r="J13" i="14"/>
  <c r="H13" i="14"/>
  <c r="F13" i="14"/>
  <c r="M12" i="14"/>
  <c r="L12" i="14"/>
  <c r="J12" i="14"/>
  <c r="H12" i="14"/>
  <c r="F12" i="14"/>
  <c r="M11" i="14"/>
  <c r="L11" i="14"/>
  <c r="J11" i="14"/>
  <c r="H11" i="14"/>
  <c r="F11" i="14"/>
  <c r="K10" i="14"/>
  <c r="I10" i="14"/>
  <c r="H10" i="14"/>
  <c r="F10" i="14"/>
  <c r="M9" i="14"/>
  <c r="L9" i="14"/>
  <c r="J9" i="14"/>
  <c r="H9" i="14"/>
  <c r="F9" i="14"/>
  <c r="M8" i="14"/>
  <c r="L8" i="14"/>
  <c r="J8" i="14"/>
  <c r="H8" i="14"/>
  <c r="F8" i="14"/>
  <c r="M7" i="14"/>
  <c r="L7" i="14"/>
  <c r="J7" i="14"/>
  <c r="H7" i="14"/>
  <c r="F7" i="14"/>
  <c r="M6" i="14"/>
  <c r="L6" i="14"/>
  <c r="J6" i="14"/>
  <c r="H6" i="14"/>
  <c r="F6" i="14"/>
  <c r="M5" i="14"/>
  <c r="L5" i="14"/>
  <c r="J5" i="14"/>
  <c r="H5" i="14"/>
  <c r="F5" i="14"/>
  <c r="M4" i="14"/>
  <c r="L4" i="14"/>
  <c r="J4" i="14"/>
  <c r="H4" i="14"/>
  <c r="F4" i="14"/>
  <c r="M3" i="14"/>
  <c r="L3" i="14"/>
  <c r="J3" i="14"/>
  <c r="H3" i="14"/>
  <c r="F3" i="14"/>
  <c r="L97" i="9"/>
  <c r="M52" i="5"/>
  <c r="M49" i="5"/>
  <c r="N49" i="5"/>
  <c r="M49" i="4"/>
  <c r="N49" i="4"/>
  <c r="M31" i="2"/>
  <c r="N31" i="2"/>
  <c r="M71" i="3"/>
  <c r="N71" i="3"/>
  <c r="L49" i="5"/>
  <c r="L49" i="4"/>
  <c r="L71" i="3"/>
  <c r="L31" i="2"/>
  <c r="T3" i="3"/>
  <c r="Q3" i="3"/>
  <c r="L42" i="13"/>
  <c r="M3" i="13"/>
  <c r="M6" i="13"/>
  <c r="M7" i="13"/>
  <c r="M8" i="13"/>
  <c r="M9" i="13"/>
  <c r="M10" i="13"/>
  <c r="M11" i="13"/>
  <c r="M12" i="13"/>
  <c r="M13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3" i="13"/>
  <c r="F3" i="13"/>
  <c r="F4" i="13"/>
  <c r="E65" i="13"/>
  <c r="F62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5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3" i="13"/>
  <c r="F78" i="12"/>
  <c r="G7" i="12"/>
  <c r="E67" i="12"/>
  <c r="I67" i="12" s="1"/>
  <c r="J67" i="12" s="1"/>
  <c r="V63" i="11"/>
  <c r="Q62" i="11"/>
  <c r="T62" i="11" s="1"/>
  <c r="N62" i="11"/>
  <c r="N61" i="11"/>
  <c r="Q61" i="11" s="1"/>
  <c r="T61" i="11" s="1"/>
  <c r="Q60" i="11"/>
  <c r="T60" i="11" s="1"/>
  <c r="N60" i="11"/>
  <c r="N59" i="11"/>
  <c r="Q59" i="11" s="1"/>
  <c r="T59" i="11" s="1"/>
  <c r="Q58" i="11"/>
  <c r="T58" i="11" s="1"/>
  <c r="L58" i="11"/>
  <c r="T57" i="11"/>
  <c r="Q57" i="11"/>
  <c r="Q56" i="11"/>
  <c r="T56" i="11" s="1"/>
  <c r="N55" i="11"/>
  <c r="Q55" i="11" s="1"/>
  <c r="T55" i="11" s="1"/>
  <c r="N54" i="11"/>
  <c r="Q54" i="11" s="1"/>
  <c r="T54" i="11" s="1"/>
  <c r="N53" i="11"/>
  <c r="Q53" i="11" s="1"/>
  <c r="T53" i="11" s="1"/>
  <c r="N52" i="11"/>
  <c r="Q52" i="11" s="1"/>
  <c r="T52" i="11" s="1"/>
  <c r="Q51" i="11"/>
  <c r="T51" i="11" s="1"/>
  <c r="T50" i="11"/>
  <c r="Q50" i="11"/>
  <c r="T49" i="11"/>
  <c r="Q49" i="11"/>
  <c r="N48" i="11"/>
  <c r="Q48" i="11" s="1"/>
  <c r="T48" i="11" s="1"/>
  <c r="Q47" i="11"/>
  <c r="T47" i="11" s="1"/>
  <c r="Q46" i="11"/>
  <c r="T46" i="11" s="1"/>
  <c r="N46" i="11"/>
  <c r="Q45" i="11"/>
  <c r="T45" i="11" s="1"/>
  <c r="N44" i="11"/>
  <c r="Q44" i="11" s="1"/>
  <c r="T44" i="11" s="1"/>
  <c r="Q43" i="11"/>
  <c r="T43" i="11" s="1"/>
  <c r="N42" i="11"/>
  <c r="Q42" i="11" s="1"/>
  <c r="T42" i="11" s="1"/>
  <c r="Q41" i="11"/>
  <c r="T41" i="11" s="1"/>
  <c r="T40" i="11"/>
  <c r="Q40" i="11"/>
  <c r="Q39" i="11"/>
  <c r="T39" i="11" s="1"/>
  <c r="Q38" i="11"/>
  <c r="T38" i="11" s="1"/>
  <c r="Q37" i="11"/>
  <c r="T37" i="11" s="1"/>
  <c r="L37" i="11"/>
  <c r="Q36" i="11"/>
  <c r="T36" i="11" s="1"/>
  <c r="Q35" i="11"/>
  <c r="T35" i="11" s="1"/>
  <c r="N34" i="11"/>
  <c r="Q34" i="11" s="1"/>
  <c r="T34" i="11" s="1"/>
  <c r="Q33" i="11"/>
  <c r="T33" i="11" s="1"/>
  <c r="T32" i="11"/>
  <c r="Q32" i="11"/>
  <c r="T31" i="11"/>
  <c r="Q31" i="11"/>
  <c r="T30" i="11"/>
  <c r="Q30" i="11"/>
  <c r="Q29" i="11"/>
  <c r="T29" i="11" s="1"/>
  <c r="Q28" i="11"/>
  <c r="T28" i="11" s="1"/>
  <c r="Q27" i="11"/>
  <c r="T27" i="11" s="1"/>
  <c r="L26" i="11"/>
  <c r="Q26" i="11" s="1"/>
  <c r="T26" i="11" s="1"/>
  <c r="T25" i="11"/>
  <c r="Q25" i="11"/>
  <c r="T24" i="11"/>
  <c r="Q24" i="11"/>
  <c r="N24" i="11"/>
  <c r="Q23" i="11"/>
  <c r="T23" i="11" s="1"/>
  <c r="Q22" i="11"/>
  <c r="T22" i="11" s="1"/>
  <c r="L22" i="11"/>
  <c r="N21" i="11"/>
  <c r="Q21" i="11" s="1"/>
  <c r="T21" i="11" s="1"/>
  <c r="Q20" i="11"/>
  <c r="T20" i="11" s="1"/>
  <c r="N20" i="11"/>
  <c r="N19" i="11"/>
  <c r="Q19" i="11" s="1"/>
  <c r="T19" i="11" s="1"/>
  <c r="Q18" i="11"/>
  <c r="T18" i="11" s="1"/>
  <c r="N18" i="11"/>
  <c r="N17" i="11"/>
  <c r="Q17" i="11" s="1"/>
  <c r="T17" i="11" s="1"/>
  <c r="Q16" i="11"/>
  <c r="T16" i="11" s="1"/>
  <c r="Q15" i="11"/>
  <c r="T15" i="11" s="1"/>
  <c r="L14" i="11"/>
  <c r="Q14" i="11" s="1"/>
  <c r="T14" i="11" s="1"/>
  <c r="Q13" i="11"/>
  <c r="T13" i="11" s="1"/>
  <c r="Q12" i="11"/>
  <c r="T12" i="11" s="1"/>
  <c r="T11" i="11"/>
  <c r="Q11" i="11"/>
  <c r="Q10" i="11"/>
  <c r="T10" i="11" s="1"/>
  <c r="Q9" i="11"/>
  <c r="T9" i="11" s="1"/>
  <c r="L9" i="11"/>
  <c r="L8" i="11"/>
  <c r="Q8" i="11" s="1"/>
  <c r="T8" i="11" s="1"/>
  <c r="Q7" i="11"/>
  <c r="T7" i="11" s="1"/>
  <c r="Q6" i="11"/>
  <c r="T6" i="11" s="1"/>
  <c r="Q5" i="11"/>
  <c r="T5" i="11" s="1"/>
  <c r="O4" i="11"/>
  <c r="Q4" i="11" s="1"/>
  <c r="T4" i="11" s="1"/>
  <c r="K3" i="11"/>
  <c r="O3" i="11" s="1"/>
  <c r="Q3" i="11" s="1"/>
  <c r="T3" i="11" s="1"/>
  <c r="V41" i="10"/>
  <c r="N40" i="10"/>
  <c r="Q40" i="10" s="1"/>
  <c r="T40" i="10" s="1"/>
  <c r="N39" i="10"/>
  <c r="Q39" i="10" s="1"/>
  <c r="T39" i="10" s="1"/>
  <c r="Q38" i="10"/>
  <c r="T38" i="10" s="1"/>
  <c r="Q37" i="10"/>
  <c r="T37" i="10" s="1"/>
  <c r="N36" i="10"/>
  <c r="Q36" i="10" s="1"/>
  <c r="T36" i="10" s="1"/>
  <c r="N35" i="10"/>
  <c r="Q35" i="10" s="1"/>
  <c r="T35" i="10" s="1"/>
  <c r="N34" i="10"/>
  <c r="Q34" i="10" s="1"/>
  <c r="T34" i="10" s="1"/>
  <c r="Q33" i="10"/>
  <c r="T33" i="10" s="1"/>
  <c r="T32" i="10"/>
  <c r="Q32" i="10"/>
  <c r="N32" i="10"/>
  <c r="Q31" i="10"/>
  <c r="T31" i="10" s="1"/>
  <c r="T30" i="10"/>
  <c r="Q30" i="10"/>
  <c r="N30" i="10"/>
  <c r="Q29" i="10"/>
  <c r="T29" i="10" s="1"/>
  <c r="Q28" i="10"/>
  <c r="T28" i="10" s="1"/>
  <c r="Q27" i="10"/>
  <c r="T27" i="10" s="1"/>
  <c r="N26" i="10"/>
  <c r="Q26" i="10" s="1"/>
  <c r="T26" i="10" s="1"/>
  <c r="N25" i="10"/>
  <c r="Q25" i="10" s="1"/>
  <c r="T25" i="10" s="1"/>
  <c r="N24" i="10"/>
  <c r="Q24" i="10" s="1"/>
  <c r="T24" i="10" s="1"/>
  <c r="N23" i="10"/>
  <c r="Q23" i="10" s="1"/>
  <c r="T23" i="10" s="1"/>
  <c r="Q22" i="10"/>
  <c r="T22" i="10" s="1"/>
  <c r="T21" i="10"/>
  <c r="Q21" i="10"/>
  <c r="L20" i="10"/>
  <c r="Q20" i="10" s="1"/>
  <c r="T20" i="10" s="1"/>
  <c r="T19" i="10"/>
  <c r="Q19" i="10"/>
  <c r="Q18" i="10"/>
  <c r="T18" i="10" s="1"/>
  <c r="Q17" i="10"/>
  <c r="T17" i="10" s="1"/>
  <c r="N17" i="10"/>
  <c r="Q16" i="10"/>
  <c r="T16" i="10" s="1"/>
  <c r="Q15" i="10"/>
  <c r="T15" i="10" s="1"/>
  <c r="T14" i="10"/>
  <c r="Q14" i="10"/>
  <c r="Q13" i="10"/>
  <c r="T13" i="10" s="1"/>
  <c r="T12" i="10"/>
  <c r="Q12" i="10"/>
  <c r="Q11" i="10"/>
  <c r="T11" i="10" s="1"/>
  <c r="Q10" i="10"/>
  <c r="T10" i="10" s="1"/>
  <c r="Q9" i="10"/>
  <c r="T9" i="10" s="1"/>
  <c r="Q8" i="10"/>
  <c r="T8" i="10" s="1"/>
  <c r="T7" i="10"/>
  <c r="Q7" i="10"/>
  <c r="Q6" i="10"/>
  <c r="T6" i="10" s="1"/>
  <c r="Q5" i="10"/>
  <c r="T5" i="10" s="1"/>
  <c r="Q4" i="10"/>
  <c r="T4" i="10" s="1"/>
  <c r="K3" i="10"/>
  <c r="O3" i="10" s="1"/>
  <c r="Q3" i="10" s="1"/>
  <c r="T3" i="10" s="1"/>
  <c r="Q14" i="4"/>
  <c r="Q15" i="4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3" i="5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3" i="4"/>
  <c r="Q4" i="4"/>
  <c r="Q5" i="4"/>
  <c r="Q6" i="4"/>
  <c r="Q7" i="4"/>
  <c r="Q8" i="4"/>
  <c r="Q9" i="4"/>
  <c r="Q10" i="4"/>
  <c r="Q11" i="4"/>
  <c r="Q12" i="4"/>
  <c r="Q13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3" i="4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N34" i="7"/>
  <c r="N33" i="7"/>
  <c r="N30" i="7"/>
  <c r="V63" i="3"/>
  <c r="G7" i="9"/>
  <c r="E66" i="9"/>
  <c r="I66" i="9" s="1"/>
  <c r="J66" i="9" s="1"/>
  <c r="V41" i="4"/>
  <c r="Q34" i="16" l="1"/>
  <c r="T34" i="16" s="1"/>
  <c r="L49" i="16"/>
  <c r="N49" i="16"/>
  <c r="M52" i="16" s="1"/>
  <c r="Q6" i="16"/>
  <c r="T6" i="16" s="1"/>
  <c r="T50" i="16"/>
  <c r="U3" i="16"/>
  <c r="N67" i="15"/>
  <c r="N64" i="15"/>
  <c r="N35" i="7"/>
  <c r="N31" i="7"/>
  <c r="N37" i="7" s="1"/>
  <c r="L64" i="8"/>
  <c r="H64" i="8"/>
  <c r="F64" i="8"/>
  <c r="N61" i="8"/>
  <c r="N59" i="8"/>
  <c r="N57" i="8"/>
  <c r="N54" i="8"/>
  <c r="N51" i="8"/>
  <c r="N48" i="8"/>
  <c r="N44" i="8"/>
  <c r="N43" i="8"/>
  <c r="N41" i="8"/>
  <c r="N40" i="8"/>
  <c r="N39" i="8"/>
  <c r="N37" i="8"/>
  <c r="N9" i="8"/>
  <c r="N6" i="8"/>
  <c r="N3" i="8"/>
  <c r="N30" i="8"/>
  <c r="N29" i="8"/>
  <c r="N28" i="8"/>
  <c r="N26" i="8"/>
  <c r="N25" i="8"/>
  <c r="N24" i="8"/>
  <c r="N23" i="8"/>
  <c r="N22" i="8"/>
  <c r="N21" i="8"/>
  <c r="N19" i="8"/>
  <c r="N18" i="8"/>
  <c r="N17" i="8"/>
  <c r="N16" i="8"/>
  <c r="N15" i="8"/>
  <c r="N14" i="8"/>
  <c r="N13" i="8"/>
  <c r="N12" i="8"/>
  <c r="N11" i="8"/>
  <c r="J64" i="8"/>
  <c r="J69" i="14" s="1"/>
  <c r="N60" i="8"/>
  <c r="N52" i="8"/>
  <c r="N50" i="8"/>
  <c r="N49" i="8"/>
  <c r="N45" i="8"/>
  <c r="N33" i="8"/>
  <c r="N32" i="8"/>
  <c r="N10" i="8"/>
  <c r="N55" i="8"/>
  <c r="N46" i="8"/>
  <c r="N34" i="8"/>
  <c r="N47" i="8"/>
  <c r="N42" i="8"/>
  <c r="N64" i="8" s="1"/>
  <c r="N38" i="8"/>
  <c r="N36" i="8"/>
  <c r="N7" i="8"/>
  <c r="N4" i="8"/>
  <c r="N35" i="8"/>
  <c r="N8" i="8"/>
  <c r="N5" i="8"/>
  <c r="H66" i="14"/>
  <c r="N62" i="14"/>
  <c r="N44" i="14"/>
  <c r="N41" i="14"/>
  <c r="N40" i="14"/>
  <c r="N38" i="14"/>
  <c r="N32" i="14"/>
  <c r="M31" i="14"/>
  <c r="N31" i="14" s="1"/>
  <c r="J31" i="14"/>
  <c r="N30" i="14"/>
  <c r="M29" i="14"/>
  <c r="N29" i="14" s="1"/>
  <c r="L29" i="14"/>
  <c r="J29" i="14"/>
  <c r="N28" i="14"/>
  <c r="N26" i="14"/>
  <c r="N25" i="14"/>
  <c r="M24" i="14"/>
  <c r="N24" i="14" s="1"/>
  <c r="L24" i="14"/>
  <c r="J24" i="14"/>
  <c r="M23" i="14"/>
  <c r="N23" i="14" s="1"/>
  <c r="L23" i="14"/>
  <c r="J23" i="14"/>
  <c r="N22" i="14"/>
  <c r="N21" i="14"/>
  <c r="N19" i="14"/>
  <c r="N18" i="14"/>
  <c r="N17" i="14"/>
  <c r="N16" i="14"/>
  <c r="N11" i="14"/>
  <c r="N3" i="14"/>
  <c r="L36" i="14"/>
  <c r="L34" i="14"/>
  <c r="M10" i="14"/>
  <c r="N10" i="14" s="1"/>
  <c r="L66" i="14"/>
  <c r="N55" i="14"/>
  <c r="N53" i="14"/>
  <c r="M39" i="14"/>
  <c r="N39" i="14" s="1"/>
  <c r="M36" i="14"/>
  <c r="N36" i="14" s="1"/>
  <c r="N14" i="14"/>
  <c r="J10" i="14"/>
  <c r="N9" i="14"/>
  <c r="N65" i="14"/>
  <c r="N60" i="14"/>
  <c r="N66" i="14" s="1"/>
  <c r="N56" i="14"/>
  <c r="N51" i="14"/>
  <c r="N50" i="14"/>
  <c r="N49" i="14"/>
  <c r="L39" i="14"/>
  <c r="N35" i="14"/>
  <c r="L10" i="14"/>
  <c r="N6" i="14"/>
  <c r="F66" i="14"/>
  <c r="N61" i="14"/>
  <c r="N45" i="14"/>
  <c r="N42" i="14"/>
  <c r="M34" i="14"/>
  <c r="N34" i="14" s="1"/>
  <c r="L15" i="14"/>
  <c r="N58" i="14"/>
  <c r="N52" i="14"/>
  <c r="N47" i="14"/>
  <c r="M15" i="14"/>
  <c r="N15" i="14" s="1"/>
  <c r="N13" i="14"/>
  <c r="N7" i="14"/>
  <c r="N48" i="14"/>
  <c r="N46" i="14"/>
  <c r="N43" i="14"/>
  <c r="N5" i="14"/>
  <c r="N4" i="14"/>
  <c r="N12" i="14"/>
  <c r="N37" i="14"/>
  <c r="N8" i="14"/>
  <c r="T70" i="11"/>
  <c r="U16" i="11"/>
  <c r="U30" i="11"/>
  <c r="U53" i="11"/>
  <c r="U24" i="10"/>
  <c r="U16" i="10"/>
  <c r="U33" i="10"/>
  <c r="U26" i="10"/>
  <c r="U34" i="10"/>
  <c r="U27" i="10"/>
  <c r="U35" i="10"/>
  <c r="U9" i="10"/>
  <c r="U18" i="10"/>
  <c r="U28" i="10"/>
  <c r="T48" i="10"/>
  <c r="U13" i="10"/>
  <c r="U31" i="10"/>
  <c r="F28" i="7"/>
  <c r="F30" i="7"/>
  <c r="F31" i="7"/>
  <c r="F32" i="7"/>
  <c r="F33" i="7"/>
  <c r="F34" i="7"/>
  <c r="F35" i="7"/>
  <c r="F27" i="7"/>
  <c r="F36" i="7" s="1"/>
  <c r="F38" i="7" s="1"/>
  <c r="J40" i="7" s="1"/>
  <c r="V3" i="5" s="1"/>
  <c r="V42" i="5" s="1"/>
  <c r="F20" i="7"/>
  <c r="F18" i="7"/>
  <c r="F19" i="7"/>
  <c r="F15" i="7"/>
  <c r="F16" i="7"/>
  <c r="F17" i="7"/>
  <c r="F5" i="7"/>
  <c r="F6" i="7"/>
  <c r="F7" i="7"/>
  <c r="F8" i="7"/>
  <c r="F9" i="7"/>
  <c r="F10" i="7"/>
  <c r="F4" i="7"/>
  <c r="N29" i="5"/>
  <c r="N36" i="5"/>
  <c r="N37" i="5"/>
  <c r="N38" i="5"/>
  <c r="N7" i="5"/>
  <c r="N33" i="5"/>
  <c r="N24" i="5"/>
  <c r="N23" i="5"/>
  <c r="N8" i="5"/>
  <c r="N35" i="5"/>
  <c r="N34" i="5"/>
  <c r="L34" i="5"/>
  <c r="N6" i="5"/>
  <c r="N41" i="5"/>
  <c r="N31" i="5"/>
  <c r="N30" i="5"/>
  <c r="N40" i="4"/>
  <c r="N32" i="4"/>
  <c r="N30" i="4"/>
  <c r="N26" i="4"/>
  <c r="N25" i="4"/>
  <c r="N24" i="4"/>
  <c r="N23" i="4"/>
  <c r="N39" i="4"/>
  <c r="N17" i="4"/>
  <c r="N34" i="4"/>
  <c r="N35" i="4"/>
  <c r="N36" i="4"/>
  <c r="L20" i="4"/>
  <c r="N48" i="3"/>
  <c r="N46" i="3"/>
  <c r="N44" i="3"/>
  <c r="N42" i="3"/>
  <c r="L37" i="3"/>
  <c r="N59" i="3"/>
  <c r="N34" i="3"/>
  <c r="L58" i="3"/>
  <c r="N52" i="3"/>
  <c r="N55" i="3"/>
  <c r="N53" i="3"/>
  <c r="N54" i="3"/>
  <c r="N18" i="3"/>
  <c r="N24" i="3"/>
  <c r="N20" i="3"/>
  <c r="N17" i="3"/>
  <c r="L22" i="3"/>
  <c r="N21" i="3"/>
  <c r="L14" i="3"/>
  <c r="L26" i="3"/>
  <c r="N60" i="3"/>
  <c r="N62" i="3"/>
  <c r="N61" i="3"/>
  <c r="L9" i="3"/>
  <c r="L8" i="3"/>
  <c r="N19" i="3"/>
  <c r="O4" i="3"/>
  <c r="K3" i="5"/>
  <c r="K3" i="4"/>
  <c r="K3" i="3"/>
  <c r="O3" i="3" s="1"/>
  <c r="U4" i="16" l="1"/>
  <c r="U5" i="16"/>
  <c r="U8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U30" i="16"/>
  <c r="U31" i="16"/>
  <c r="U32" i="16"/>
  <c r="U33" i="16"/>
  <c r="U35" i="16"/>
  <c r="U36" i="16"/>
  <c r="U37" i="16"/>
  <c r="U38" i="16"/>
  <c r="U39" i="16"/>
  <c r="U40" i="16"/>
  <c r="U41" i="16"/>
  <c r="U7" i="16"/>
  <c r="U34" i="16"/>
  <c r="U6" i="16"/>
  <c r="L69" i="14"/>
  <c r="N67" i="8"/>
  <c r="D10" i="6"/>
  <c r="D9" i="6" s="1"/>
  <c r="J66" i="14"/>
  <c r="D5" i="6"/>
  <c r="D15" i="6"/>
  <c r="U40" i="11"/>
  <c r="U11" i="11"/>
  <c r="U60" i="11"/>
  <c r="U27" i="11"/>
  <c r="U48" i="11"/>
  <c r="U10" i="11"/>
  <c r="U31" i="11"/>
  <c r="U12" i="11"/>
  <c r="U3" i="11"/>
  <c r="U55" i="11"/>
  <c r="U28" i="11"/>
  <c r="U34" i="11"/>
  <c r="U57" i="11"/>
  <c r="U25" i="11"/>
  <c r="U51" i="11"/>
  <c r="U38" i="11"/>
  <c r="U13" i="11"/>
  <c r="U32" i="11"/>
  <c r="U20" i="11"/>
  <c r="U46" i="11"/>
  <c r="U45" i="11"/>
  <c r="U17" i="11"/>
  <c r="U47" i="11"/>
  <c r="U35" i="11"/>
  <c r="U7" i="11"/>
  <c r="U37" i="11"/>
  <c r="U43" i="11"/>
  <c r="U19" i="11"/>
  <c r="U33" i="11"/>
  <c r="U50" i="11"/>
  <c r="U14" i="11"/>
  <c r="U21" i="11"/>
  <c r="U44" i="11"/>
  <c r="U6" i="11"/>
  <c r="U36" i="11"/>
  <c r="U22" i="11"/>
  <c r="U59" i="11"/>
  <c r="U18" i="11"/>
  <c r="U42" i="11"/>
  <c r="U62" i="11"/>
  <c r="U15" i="11"/>
  <c r="U54" i="11"/>
  <c r="U24" i="11"/>
  <c r="U5" i="11"/>
  <c r="U61" i="11"/>
  <c r="U58" i="11"/>
  <c r="U52" i="11"/>
  <c r="U49" i="11"/>
  <c r="U26" i="11"/>
  <c r="U39" i="11"/>
  <c r="U23" i="11"/>
  <c r="U29" i="11"/>
  <c r="U9" i="11"/>
  <c r="U8" i="11"/>
  <c r="U41" i="11"/>
  <c r="U4" i="11"/>
  <c r="U56" i="11"/>
  <c r="U21" i="10"/>
  <c r="U14" i="10"/>
  <c r="U12" i="10"/>
  <c r="U32" i="10"/>
  <c r="U19" i="10"/>
  <c r="U7" i="10"/>
  <c r="U17" i="10"/>
  <c r="U23" i="10"/>
  <c r="U3" i="10"/>
  <c r="U8" i="10"/>
  <c r="U22" i="10"/>
  <c r="U30" i="10"/>
  <c r="U25" i="10"/>
  <c r="U4" i="10"/>
  <c r="U39" i="10"/>
  <c r="U15" i="10"/>
  <c r="U40" i="10"/>
  <c r="U38" i="10"/>
  <c r="U6" i="10"/>
  <c r="U20" i="10"/>
  <c r="U37" i="10"/>
  <c r="U5" i="10"/>
  <c r="U11" i="10"/>
  <c r="U36" i="10"/>
  <c r="U10" i="10"/>
  <c r="U29" i="10"/>
  <c r="O3" i="4"/>
  <c r="O3" i="5"/>
  <c r="F21" i="7"/>
  <c r="F11" i="7"/>
  <c r="F23" i="7" s="1"/>
  <c r="T50" i="5"/>
  <c r="D11" i="6" l="1"/>
  <c r="D21" i="6"/>
  <c r="D19" i="6"/>
  <c r="D14" i="6"/>
  <c r="D29" i="6"/>
  <c r="D13" i="6" s="1"/>
  <c r="D4" i="6"/>
  <c r="D27" i="6"/>
  <c r="D3" i="6" s="1"/>
  <c r="D28" i="6"/>
  <c r="D8" i="6" s="1"/>
  <c r="D30" i="6"/>
  <c r="D18" i="6" s="1"/>
  <c r="D16" i="6"/>
  <c r="D6" i="6"/>
  <c r="U70" i="11"/>
  <c r="T48" i="4"/>
  <c r="D22" i="6" l="1"/>
  <c r="D17" i="6"/>
  <c r="D12" i="6"/>
  <c r="U4" i="5"/>
  <c r="U16" i="5"/>
  <c r="U28" i="5"/>
  <c r="U40" i="5"/>
  <c r="U23" i="5"/>
  <c r="U12" i="5"/>
  <c r="U13" i="5"/>
  <c r="U5" i="5"/>
  <c r="U17" i="5"/>
  <c r="U29" i="5"/>
  <c r="U41" i="5"/>
  <c r="U35" i="5"/>
  <c r="U25" i="5"/>
  <c r="U6" i="5"/>
  <c r="U18" i="5"/>
  <c r="U30" i="5"/>
  <c r="U3" i="5"/>
  <c r="U11" i="5"/>
  <c r="U36" i="5"/>
  <c r="U26" i="5"/>
  <c r="U7" i="5"/>
  <c r="U19" i="5"/>
  <c r="U31" i="5"/>
  <c r="U8" i="5"/>
  <c r="U20" i="5"/>
  <c r="U32" i="5"/>
  <c r="U10" i="5"/>
  <c r="U14" i="5"/>
  <c r="U9" i="5"/>
  <c r="U21" i="5"/>
  <c r="U33" i="5"/>
  <c r="U22" i="5"/>
  <c r="U37" i="5"/>
  <c r="U15" i="5"/>
  <c r="U27" i="5"/>
  <c r="U39" i="5"/>
  <c r="U24" i="5"/>
  <c r="U38" i="5"/>
  <c r="U34" i="5"/>
  <c r="U13" i="4"/>
  <c r="U12" i="4"/>
  <c r="U37" i="4"/>
  <c r="U17" i="4"/>
  <c r="U3" i="4"/>
  <c r="U6" i="4"/>
  <c r="U14" i="4"/>
  <c r="U24" i="4"/>
  <c r="U7" i="4"/>
  <c r="U25" i="4"/>
  <c r="U15" i="4"/>
  <c r="U31" i="4"/>
  <c r="U22" i="4"/>
  <c r="U5" i="4"/>
  <c r="U16" i="4"/>
  <c r="U9" i="4"/>
  <c r="U27" i="4"/>
  <c r="U4" i="4"/>
  <c r="U10" i="4"/>
  <c r="U21" i="4"/>
  <c r="U33" i="4"/>
  <c r="U18" i="4"/>
  <c r="U40" i="4"/>
  <c r="U19" i="4"/>
  <c r="U23" i="4"/>
  <c r="U20" i="4"/>
  <c r="U32" i="4"/>
  <c r="U36" i="4"/>
  <c r="U28" i="4"/>
  <c r="U39" i="4"/>
  <c r="U29" i="4"/>
  <c r="U30" i="4"/>
  <c r="U26" i="4"/>
  <c r="U38" i="4"/>
  <c r="U11" i="4"/>
  <c r="U8" i="4"/>
  <c r="U35" i="4"/>
  <c r="U34" i="4"/>
  <c r="T70" i="3"/>
  <c r="U3" i="3" s="1"/>
  <c r="L9" i="2"/>
  <c r="N3" i="2"/>
  <c r="N11" i="2"/>
  <c r="N14" i="2"/>
  <c r="N13" i="2"/>
  <c r="N15" i="2"/>
  <c r="L8" i="2"/>
  <c r="N16" i="2"/>
  <c r="W42" i="5" l="1"/>
  <c r="W42" i="16"/>
  <c r="W5" i="5"/>
  <c r="X5" i="5" s="1"/>
  <c r="W17" i="5"/>
  <c r="X17" i="5" s="1"/>
  <c r="W29" i="5"/>
  <c r="X29" i="5" s="1"/>
  <c r="W41" i="5"/>
  <c r="X41" i="5" s="1"/>
  <c r="W35" i="5"/>
  <c r="X35" i="5" s="1"/>
  <c r="W25" i="5"/>
  <c r="X25" i="5" s="1"/>
  <c r="W28" i="5"/>
  <c r="X28" i="5" s="1"/>
  <c r="W41" i="4"/>
  <c r="W41" i="10"/>
  <c r="W63" i="11"/>
  <c r="W63" i="3"/>
  <c r="W3" i="3" s="1"/>
  <c r="X3" i="3" s="1"/>
  <c r="T28" i="2"/>
  <c r="W13" i="5" l="1"/>
  <c r="X13" i="5" s="1"/>
  <c r="W12" i="5"/>
  <c r="X12" i="5" s="1"/>
  <c r="W40" i="5"/>
  <c r="X40" i="5" s="1"/>
  <c r="W23" i="5"/>
  <c r="X23" i="5" s="1"/>
  <c r="W3" i="5"/>
  <c r="X3" i="5" s="1"/>
  <c r="X42" i="5" s="1"/>
  <c r="W20" i="16"/>
  <c r="X20" i="16" s="1"/>
  <c r="Y20" i="16" s="1"/>
  <c r="W16" i="16"/>
  <c r="X16" i="16" s="1"/>
  <c r="Y16" i="16" s="1"/>
  <c r="W6" i="16"/>
  <c r="X6" i="16" s="1"/>
  <c r="Y6" i="16" s="1"/>
  <c r="W7" i="16"/>
  <c r="X7" i="16" s="1"/>
  <c r="Y7" i="16" s="1"/>
  <c r="W41" i="16"/>
  <c r="X41" i="16" s="1"/>
  <c r="Y41" i="16" s="1"/>
  <c r="W40" i="16"/>
  <c r="X40" i="16" s="1"/>
  <c r="Y40" i="16" s="1"/>
  <c r="W39" i="16"/>
  <c r="X39" i="16" s="1"/>
  <c r="Y39" i="16" s="1"/>
  <c r="W38" i="16"/>
  <c r="X38" i="16" s="1"/>
  <c r="Y38" i="16" s="1"/>
  <c r="W37" i="16"/>
  <c r="X37" i="16" s="1"/>
  <c r="Y37" i="16" s="1"/>
  <c r="W36" i="16"/>
  <c r="X36" i="16" s="1"/>
  <c r="Y36" i="16" s="1"/>
  <c r="W35" i="16"/>
  <c r="X35" i="16" s="1"/>
  <c r="Y35" i="16" s="1"/>
  <c r="W33" i="16"/>
  <c r="X33" i="16" s="1"/>
  <c r="Y33" i="16" s="1"/>
  <c r="W32" i="16"/>
  <c r="X32" i="16" s="1"/>
  <c r="Y32" i="16" s="1"/>
  <c r="W21" i="16"/>
  <c r="X21" i="16" s="1"/>
  <c r="Y21" i="16" s="1"/>
  <c r="W17" i="16"/>
  <c r="X17" i="16" s="1"/>
  <c r="Y17" i="16" s="1"/>
  <c r="W34" i="16"/>
  <c r="X34" i="16" s="1"/>
  <c r="Y34" i="16" s="1"/>
  <c r="W31" i="16"/>
  <c r="X31" i="16" s="1"/>
  <c r="Y31" i="16" s="1"/>
  <c r="W30" i="16"/>
  <c r="X30" i="16" s="1"/>
  <c r="Y30" i="16" s="1"/>
  <c r="W29" i="16"/>
  <c r="X29" i="16" s="1"/>
  <c r="Y29" i="16" s="1"/>
  <c r="W28" i="16"/>
  <c r="X28" i="16" s="1"/>
  <c r="Y28" i="16" s="1"/>
  <c r="W27" i="16"/>
  <c r="X27" i="16" s="1"/>
  <c r="Y27" i="16" s="1"/>
  <c r="W26" i="16"/>
  <c r="X26" i="16" s="1"/>
  <c r="Y26" i="16" s="1"/>
  <c r="W25" i="16"/>
  <c r="X25" i="16" s="1"/>
  <c r="Y25" i="16" s="1"/>
  <c r="W24" i="16"/>
  <c r="X24" i="16" s="1"/>
  <c r="Y24" i="16" s="1"/>
  <c r="W23" i="16"/>
  <c r="X23" i="16" s="1"/>
  <c r="Y23" i="16" s="1"/>
  <c r="W22" i="16"/>
  <c r="X22" i="16" s="1"/>
  <c r="Y22" i="16" s="1"/>
  <c r="W18" i="16"/>
  <c r="X18" i="16" s="1"/>
  <c r="Y18" i="16" s="1"/>
  <c r="W14" i="16"/>
  <c r="X14" i="16" s="1"/>
  <c r="Y14" i="16" s="1"/>
  <c r="W13" i="16"/>
  <c r="X13" i="16" s="1"/>
  <c r="Y13" i="16" s="1"/>
  <c r="W12" i="16"/>
  <c r="X12" i="16" s="1"/>
  <c r="Y12" i="16" s="1"/>
  <c r="W11" i="16"/>
  <c r="X11" i="16" s="1"/>
  <c r="Y11" i="16" s="1"/>
  <c r="W19" i="16"/>
  <c r="X19" i="16" s="1"/>
  <c r="Y19" i="16" s="1"/>
  <c r="W15" i="16"/>
  <c r="X15" i="16" s="1"/>
  <c r="Y15" i="16" s="1"/>
  <c r="W10" i="16"/>
  <c r="X10" i="16" s="1"/>
  <c r="Y10" i="16" s="1"/>
  <c r="W9" i="16"/>
  <c r="X9" i="16" s="1"/>
  <c r="Y9" i="16" s="1"/>
  <c r="W8" i="16"/>
  <c r="X8" i="16" s="1"/>
  <c r="Y8" i="16" s="1"/>
  <c r="W5" i="16"/>
  <c r="X5" i="16" s="1"/>
  <c r="Y5" i="16" s="1"/>
  <c r="W4" i="16"/>
  <c r="X4" i="16" s="1"/>
  <c r="Y4" i="16" s="1"/>
  <c r="W3" i="16"/>
  <c r="X3" i="16" s="1"/>
  <c r="X42" i="16"/>
  <c r="W16" i="5"/>
  <c r="X16" i="5" s="1"/>
  <c r="W4" i="5"/>
  <c r="X4" i="5" s="1"/>
  <c r="W6" i="5"/>
  <c r="X6" i="5" s="1"/>
  <c r="W18" i="5"/>
  <c r="X18" i="5" s="1"/>
  <c r="W30" i="5"/>
  <c r="X30" i="5" s="1"/>
  <c r="W11" i="5"/>
  <c r="X11" i="5" s="1"/>
  <c r="W36" i="5"/>
  <c r="X36" i="5" s="1"/>
  <c r="W26" i="5"/>
  <c r="X26" i="5" s="1"/>
  <c r="W7" i="5"/>
  <c r="X7" i="5" s="1"/>
  <c r="W19" i="5"/>
  <c r="X19" i="5" s="1"/>
  <c r="W8" i="5"/>
  <c r="X8" i="5" s="1"/>
  <c r="W20" i="5"/>
  <c r="X20" i="5" s="1"/>
  <c r="W32" i="5"/>
  <c r="X32" i="5" s="1"/>
  <c r="W10" i="5"/>
  <c r="X10" i="5" s="1"/>
  <c r="W14" i="5"/>
  <c r="X14" i="5" s="1"/>
  <c r="W9" i="5"/>
  <c r="X9" i="5" s="1"/>
  <c r="W33" i="5"/>
  <c r="X33" i="5" s="1"/>
  <c r="W22" i="5"/>
  <c r="X22" i="5" s="1"/>
  <c r="W15" i="5"/>
  <c r="X15" i="5" s="1"/>
  <c r="W39" i="5"/>
  <c r="X39" i="5" s="1"/>
  <c r="W38" i="5"/>
  <c r="X38" i="5" s="1"/>
  <c r="W31" i="5"/>
  <c r="X31" i="5" s="1"/>
  <c r="W21" i="5"/>
  <c r="X21" i="5" s="1"/>
  <c r="W37" i="5"/>
  <c r="X37" i="5" s="1"/>
  <c r="W27" i="5"/>
  <c r="X27" i="5" s="1"/>
  <c r="W24" i="5"/>
  <c r="X24" i="5" s="1"/>
  <c r="W34" i="5"/>
  <c r="X34" i="5" s="1"/>
  <c r="H56" i="9"/>
  <c r="H57" i="12"/>
  <c r="H4" i="9"/>
  <c r="H4" i="12"/>
  <c r="H30" i="9"/>
  <c r="H30" i="12"/>
  <c r="H69" i="9"/>
  <c r="H70" i="12"/>
  <c r="H92" i="9"/>
  <c r="I92" i="9" s="1"/>
  <c r="J92" i="9" s="1"/>
  <c r="H93" i="12"/>
  <c r="I93" i="12" s="1"/>
  <c r="J93" i="12" s="1"/>
  <c r="H80" i="9"/>
  <c r="I80" i="9" s="1"/>
  <c r="J80" i="9" s="1"/>
  <c r="H81" i="12"/>
  <c r="I81" i="12" s="1"/>
  <c r="J81" i="12" s="1"/>
  <c r="H68" i="9"/>
  <c r="H69" i="12"/>
  <c r="H27" i="9"/>
  <c r="H27" i="12"/>
  <c r="H2" i="9"/>
  <c r="I2" i="9" s="1"/>
  <c r="J2" i="9" s="1"/>
  <c r="H2" i="12"/>
  <c r="I2" i="12" s="1"/>
  <c r="J2" i="12" s="1"/>
  <c r="H8" i="9"/>
  <c r="H8" i="12"/>
  <c r="H31" i="12"/>
  <c r="H31" i="9"/>
  <c r="H94" i="12"/>
  <c r="I94" i="12" s="1"/>
  <c r="J94" i="12" s="1"/>
  <c r="H93" i="9"/>
  <c r="I93" i="9" s="1"/>
  <c r="J93" i="9" s="1"/>
  <c r="H83" i="9"/>
  <c r="I83" i="9" s="1"/>
  <c r="J83" i="9" s="1"/>
  <c r="H84" i="12"/>
  <c r="I84" i="12" s="1"/>
  <c r="J84" i="12" s="1"/>
  <c r="H82" i="9"/>
  <c r="I82" i="9" s="1"/>
  <c r="J82" i="9" s="1"/>
  <c r="H83" i="12"/>
  <c r="I83" i="12" s="1"/>
  <c r="J83" i="12" s="1"/>
  <c r="H67" i="9"/>
  <c r="H68" i="12"/>
  <c r="H52" i="9"/>
  <c r="I52" i="9" s="1"/>
  <c r="J52" i="9" s="1"/>
  <c r="H53" i="12"/>
  <c r="I53" i="12" s="1"/>
  <c r="J53" i="12" s="1"/>
  <c r="H79" i="9"/>
  <c r="I79" i="9" s="1"/>
  <c r="J79" i="9" s="1"/>
  <c r="H80" i="12"/>
  <c r="I80" i="12" s="1"/>
  <c r="J80" i="12" s="1"/>
  <c r="H70" i="9"/>
  <c r="I70" i="9" s="1"/>
  <c r="J70" i="9" s="1"/>
  <c r="H71" i="12"/>
  <c r="I71" i="12" s="1"/>
  <c r="J71" i="12" s="1"/>
  <c r="H21" i="9"/>
  <c r="H21" i="12"/>
  <c r="H81" i="9"/>
  <c r="I81" i="9" s="1"/>
  <c r="J81" i="9" s="1"/>
  <c r="H82" i="12"/>
  <c r="I82" i="12" s="1"/>
  <c r="J82" i="12" s="1"/>
  <c r="H64" i="9"/>
  <c r="H65" i="12"/>
  <c r="H9" i="9"/>
  <c r="I9" i="9" s="1"/>
  <c r="J9" i="9" s="1"/>
  <c r="H9" i="12"/>
  <c r="I9" i="12" s="1"/>
  <c r="J9" i="12" s="1"/>
  <c r="H32" i="9"/>
  <c r="H32" i="12"/>
  <c r="H13" i="9"/>
  <c r="I13" i="9" s="1"/>
  <c r="J13" i="9" s="1"/>
  <c r="H13" i="12"/>
  <c r="I13" i="12" s="1"/>
  <c r="J13" i="12" s="1"/>
  <c r="H35" i="9"/>
  <c r="H35" i="12"/>
  <c r="H77" i="9"/>
  <c r="H78" i="12"/>
  <c r="I78" i="12" s="1"/>
  <c r="J78" i="12" s="1"/>
  <c r="H18" i="9"/>
  <c r="H18" i="12"/>
  <c r="H25" i="9"/>
  <c r="H25" i="12"/>
  <c r="H15" i="9"/>
  <c r="I15" i="9" s="1"/>
  <c r="J15" i="9" s="1"/>
  <c r="H15" i="12"/>
  <c r="I15" i="12" s="1"/>
  <c r="J15" i="12" s="1"/>
  <c r="H71" i="9"/>
  <c r="I71" i="9" s="1"/>
  <c r="J71" i="9" s="1"/>
  <c r="H72" i="12"/>
  <c r="I72" i="12" s="1"/>
  <c r="J72" i="12" s="1"/>
  <c r="H43" i="9"/>
  <c r="I43" i="9" s="1"/>
  <c r="J43" i="9" s="1"/>
  <c r="H43" i="12"/>
  <c r="I43" i="12" s="1"/>
  <c r="J43" i="12" s="1"/>
  <c r="W11" i="4"/>
  <c r="X11" i="4" s="1"/>
  <c r="G19" i="9" s="1"/>
  <c r="W37" i="4"/>
  <c r="X37" i="4" s="1"/>
  <c r="G76" i="9" s="1"/>
  <c r="W34" i="4"/>
  <c r="X34" i="4" s="1"/>
  <c r="G73" i="9" s="1"/>
  <c r="W35" i="4"/>
  <c r="X35" i="4" s="1"/>
  <c r="G74" i="9" s="1"/>
  <c r="W8" i="4"/>
  <c r="X8" i="4" s="1"/>
  <c r="G8" i="9" s="1"/>
  <c r="W38" i="4"/>
  <c r="X38" i="4" s="1"/>
  <c r="G86" i="9" s="1"/>
  <c r="W26" i="4"/>
  <c r="X26" i="4" s="1"/>
  <c r="G62" i="9" s="1"/>
  <c r="W30" i="4"/>
  <c r="X30" i="4" s="1"/>
  <c r="G67" i="9" s="1"/>
  <c r="W29" i="4"/>
  <c r="X29" i="4" s="1"/>
  <c r="G65" i="9" s="1"/>
  <c r="W39" i="4"/>
  <c r="X39" i="4" s="1"/>
  <c r="G87" i="9" s="1"/>
  <c r="W28" i="4"/>
  <c r="X28" i="4" s="1"/>
  <c r="G64" i="9" s="1"/>
  <c r="W36" i="4"/>
  <c r="X36" i="4" s="1"/>
  <c r="G75" i="9" s="1"/>
  <c r="W32" i="4"/>
  <c r="X32" i="4" s="1"/>
  <c r="G69" i="9" s="1"/>
  <c r="W20" i="4"/>
  <c r="X20" i="4" s="1"/>
  <c r="G55" i="9" s="1"/>
  <c r="W23" i="4"/>
  <c r="X23" i="4" s="1"/>
  <c r="G59" i="9" s="1"/>
  <c r="W19" i="4"/>
  <c r="X19" i="4" s="1"/>
  <c r="G54" i="9" s="1"/>
  <c r="W40" i="4"/>
  <c r="X40" i="4" s="1"/>
  <c r="G88" i="9" s="1"/>
  <c r="W18" i="4"/>
  <c r="X18" i="4" s="1"/>
  <c r="G53" i="9" s="1"/>
  <c r="W33" i="4"/>
  <c r="X33" i="4" s="1"/>
  <c r="G72" i="9" s="1"/>
  <c r="W21" i="4"/>
  <c r="X21" i="4" s="1"/>
  <c r="G57" i="9" s="1"/>
  <c r="W10" i="4"/>
  <c r="X10" i="4" s="1"/>
  <c r="G12" i="9" s="1"/>
  <c r="W4" i="4"/>
  <c r="X4" i="4" s="1"/>
  <c r="G3" i="9" s="1"/>
  <c r="W27" i="4"/>
  <c r="X27" i="4" s="1"/>
  <c r="G63" i="9" s="1"/>
  <c r="W9" i="4"/>
  <c r="X9" i="4" s="1"/>
  <c r="G10" i="9" s="1"/>
  <c r="W16" i="4"/>
  <c r="X16" i="4" s="1"/>
  <c r="G49" i="9" s="1"/>
  <c r="W5" i="4"/>
  <c r="X5" i="4" s="1"/>
  <c r="G5" i="9" s="1"/>
  <c r="W22" i="4"/>
  <c r="X22" i="4" s="1"/>
  <c r="G58" i="9" s="1"/>
  <c r="W31" i="4"/>
  <c r="X31" i="4" s="1"/>
  <c r="G68" i="9" s="1"/>
  <c r="W15" i="4"/>
  <c r="X15" i="4" s="1"/>
  <c r="G48" i="9" s="1"/>
  <c r="W25" i="4"/>
  <c r="X25" i="4" s="1"/>
  <c r="G61" i="9" s="1"/>
  <c r="W7" i="4"/>
  <c r="W24" i="4"/>
  <c r="X24" i="4" s="1"/>
  <c r="G60" i="9" s="1"/>
  <c r="W14" i="4"/>
  <c r="X14" i="4" s="1"/>
  <c r="G47" i="9" s="1"/>
  <c r="W6" i="4"/>
  <c r="X6" i="4" s="1"/>
  <c r="G6" i="9" s="1"/>
  <c r="W17" i="4"/>
  <c r="X17" i="4" s="1"/>
  <c r="G50" i="9" s="1"/>
  <c r="W12" i="4"/>
  <c r="X12" i="4" s="1"/>
  <c r="G44" i="9" s="1"/>
  <c r="W13" i="4"/>
  <c r="X13" i="4" s="1"/>
  <c r="G46" i="9" s="1"/>
  <c r="W3" i="4"/>
  <c r="X3" i="4" s="1"/>
  <c r="G94" i="9" s="1"/>
  <c r="W30" i="10"/>
  <c r="X30" i="10" s="1"/>
  <c r="G68" i="12" s="1"/>
  <c r="W22" i="10"/>
  <c r="X22" i="10" s="1"/>
  <c r="G59" i="12" s="1"/>
  <c r="W8" i="10"/>
  <c r="X8" i="10" s="1"/>
  <c r="G8" i="12" s="1"/>
  <c r="W3" i="10"/>
  <c r="X3" i="10" s="1"/>
  <c r="W23" i="10"/>
  <c r="X23" i="10" s="1"/>
  <c r="G60" i="12" s="1"/>
  <c r="W17" i="10"/>
  <c r="X17" i="10" s="1"/>
  <c r="G51" i="12" s="1"/>
  <c r="W7" i="10"/>
  <c r="W19" i="10"/>
  <c r="X19" i="10" s="1"/>
  <c r="G55" i="12" s="1"/>
  <c r="W32" i="10"/>
  <c r="X32" i="10" s="1"/>
  <c r="G70" i="12" s="1"/>
  <c r="W12" i="10"/>
  <c r="X12" i="10" s="1"/>
  <c r="G44" i="12" s="1"/>
  <c r="W14" i="10"/>
  <c r="X14" i="10" s="1"/>
  <c r="G47" i="12" s="1"/>
  <c r="W21" i="10"/>
  <c r="X21" i="10" s="1"/>
  <c r="G58" i="12" s="1"/>
  <c r="W29" i="10"/>
  <c r="X29" i="10" s="1"/>
  <c r="G66" i="12" s="1"/>
  <c r="W10" i="10"/>
  <c r="X10" i="10" s="1"/>
  <c r="G12" i="12" s="1"/>
  <c r="W36" i="10"/>
  <c r="X36" i="10" s="1"/>
  <c r="G76" i="12" s="1"/>
  <c r="W11" i="10"/>
  <c r="X11" i="10" s="1"/>
  <c r="G19" i="12" s="1"/>
  <c r="W5" i="10"/>
  <c r="X5" i="10" s="1"/>
  <c r="G5" i="12" s="1"/>
  <c r="W37" i="10"/>
  <c r="X37" i="10" s="1"/>
  <c r="G77" i="12" s="1"/>
  <c r="W20" i="10"/>
  <c r="X20" i="10" s="1"/>
  <c r="G56" i="12" s="1"/>
  <c r="W6" i="10"/>
  <c r="X6" i="10" s="1"/>
  <c r="G6" i="12" s="1"/>
  <c r="W38" i="10"/>
  <c r="X38" i="10" s="1"/>
  <c r="G87" i="12" s="1"/>
  <c r="W40" i="10"/>
  <c r="X40" i="10" s="1"/>
  <c r="G89" i="12" s="1"/>
  <c r="W15" i="10"/>
  <c r="X15" i="10" s="1"/>
  <c r="G48" i="12" s="1"/>
  <c r="W39" i="10"/>
  <c r="X39" i="10" s="1"/>
  <c r="G88" i="12" s="1"/>
  <c r="W4" i="10"/>
  <c r="X4" i="10" s="1"/>
  <c r="G3" i="12" s="1"/>
  <c r="W25" i="10"/>
  <c r="X25" i="10" s="1"/>
  <c r="G62" i="12" s="1"/>
  <c r="W18" i="10"/>
  <c r="X18" i="10" s="1"/>
  <c r="G54" i="12" s="1"/>
  <c r="W27" i="10"/>
  <c r="X27" i="10" s="1"/>
  <c r="G64" i="12" s="1"/>
  <c r="W33" i="10"/>
  <c r="X33" i="10" s="1"/>
  <c r="G73" i="12" s="1"/>
  <c r="W28" i="10"/>
  <c r="X28" i="10" s="1"/>
  <c r="G65" i="12" s="1"/>
  <c r="W9" i="10"/>
  <c r="X9" i="10" s="1"/>
  <c r="G10" i="12" s="1"/>
  <c r="W35" i="10"/>
  <c r="X35" i="10" s="1"/>
  <c r="G75" i="12" s="1"/>
  <c r="W34" i="10"/>
  <c r="X34" i="10" s="1"/>
  <c r="G74" i="12" s="1"/>
  <c r="W26" i="10"/>
  <c r="X26" i="10" s="1"/>
  <c r="G63" i="12" s="1"/>
  <c r="W16" i="10"/>
  <c r="X16" i="10" s="1"/>
  <c r="G50" i="12" s="1"/>
  <c r="W24" i="10"/>
  <c r="X24" i="10" s="1"/>
  <c r="G61" i="12" s="1"/>
  <c r="W31" i="10"/>
  <c r="X31" i="10" s="1"/>
  <c r="G69" i="12" s="1"/>
  <c r="W13" i="10"/>
  <c r="X13" i="10" s="1"/>
  <c r="G46" i="12" s="1"/>
  <c r="W3" i="11"/>
  <c r="X3" i="11" s="1"/>
  <c r="W56" i="11"/>
  <c r="W4" i="11"/>
  <c r="X4" i="11" s="1"/>
  <c r="W41" i="11"/>
  <c r="X41" i="11" s="1"/>
  <c r="F60" i="12" s="1"/>
  <c r="W8" i="11"/>
  <c r="X8" i="11" s="1"/>
  <c r="F6" i="12" s="1"/>
  <c r="W9" i="11"/>
  <c r="X9" i="11" s="1"/>
  <c r="F7" i="12" s="1"/>
  <c r="I7" i="12" s="1"/>
  <c r="J7" i="12" s="1"/>
  <c r="W29" i="11"/>
  <c r="X29" i="11" s="1"/>
  <c r="F44" i="12" s="1"/>
  <c r="W23" i="11"/>
  <c r="X23" i="11" s="1"/>
  <c r="F30" i="12" s="1"/>
  <c r="W39" i="11"/>
  <c r="X39" i="11" s="1"/>
  <c r="F58" i="12" s="1"/>
  <c r="W26" i="11"/>
  <c r="X26" i="11" s="1"/>
  <c r="F33" i="12" s="1"/>
  <c r="I33" i="12" s="1"/>
  <c r="J33" i="12" s="1"/>
  <c r="W49" i="11"/>
  <c r="X49" i="11" s="1"/>
  <c r="F69" i="12" s="1"/>
  <c r="W52" i="11"/>
  <c r="X52" i="11" s="1"/>
  <c r="F74" i="12" s="1"/>
  <c r="W58" i="11"/>
  <c r="X58" i="11" s="1"/>
  <c r="F87" i="12" s="1"/>
  <c r="W61" i="11"/>
  <c r="X61" i="11" s="1"/>
  <c r="F90" i="12" s="1"/>
  <c r="I90" i="12" s="1"/>
  <c r="J90" i="12" s="1"/>
  <c r="W5" i="11"/>
  <c r="X5" i="11" s="1"/>
  <c r="F3" i="12" s="1"/>
  <c r="W24" i="11"/>
  <c r="X24" i="11" s="1"/>
  <c r="F31" i="12" s="1"/>
  <c r="W54" i="11"/>
  <c r="X54" i="11" s="1"/>
  <c r="F76" i="12" s="1"/>
  <c r="W15" i="11"/>
  <c r="X15" i="11" s="1"/>
  <c r="F19" i="12" s="1"/>
  <c r="W62" i="11"/>
  <c r="X62" i="11" s="1"/>
  <c r="F91" i="12" s="1"/>
  <c r="I91" i="12" s="1"/>
  <c r="J91" i="12" s="1"/>
  <c r="W42" i="11"/>
  <c r="X42" i="11" s="1"/>
  <c r="F61" i="12" s="1"/>
  <c r="W18" i="11"/>
  <c r="X18" i="11" s="1"/>
  <c r="F22" i="12" s="1"/>
  <c r="I22" i="12" s="1"/>
  <c r="J22" i="12" s="1"/>
  <c r="W59" i="11"/>
  <c r="X59" i="11" s="1"/>
  <c r="F88" i="12" s="1"/>
  <c r="W22" i="11"/>
  <c r="X22" i="11" s="1"/>
  <c r="F27" i="12" s="1"/>
  <c r="W36" i="11"/>
  <c r="X36" i="11" s="1"/>
  <c r="F55" i="12" s="1"/>
  <c r="W6" i="11"/>
  <c r="X6" i="11" s="1"/>
  <c r="F4" i="12" s="1"/>
  <c r="W44" i="11"/>
  <c r="X44" i="11" s="1"/>
  <c r="F63" i="12" s="1"/>
  <c r="W21" i="11"/>
  <c r="X21" i="11" s="1"/>
  <c r="F26" i="12" s="1"/>
  <c r="W14" i="11"/>
  <c r="X14" i="11" s="1"/>
  <c r="F18" i="12" s="1"/>
  <c r="W50" i="11"/>
  <c r="X50" i="11" s="1"/>
  <c r="F70" i="12" s="1"/>
  <c r="W33" i="11"/>
  <c r="X33" i="11" s="1"/>
  <c r="F50" i="12" s="1"/>
  <c r="W19" i="11"/>
  <c r="X19" i="11" s="1"/>
  <c r="F23" i="12" s="1"/>
  <c r="W43" i="11"/>
  <c r="X43" i="11" s="1"/>
  <c r="F62" i="12" s="1"/>
  <c r="W37" i="11"/>
  <c r="X37" i="11" s="1"/>
  <c r="F56" i="12" s="1"/>
  <c r="W7" i="11"/>
  <c r="X7" i="11" s="1"/>
  <c r="F5" i="12" s="1"/>
  <c r="W35" i="11"/>
  <c r="X35" i="11" s="1"/>
  <c r="F54" i="12" s="1"/>
  <c r="W47" i="11"/>
  <c r="X47" i="11" s="1"/>
  <c r="F66" i="12" s="1"/>
  <c r="W17" i="11"/>
  <c r="X17" i="11" s="1"/>
  <c r="F21" i="12" s="1"/>
  <c r="W45" i="11"/>
  <c r="X45" i="11" s="1"/>
  <c r="F64" i="12" s="1"/>
  <c r="W46" i="11"/>
  <c r="X46" i="11" s="1"/>
  <c r="F65" i="12" s="1"/>
  <c r="W20" i="11"/>
  <c r="X20" i="11" s="1"/>
  <c r="F24" i="12" s="1"/>
  <c r="W32" i="11"/>
  <c r="X32" i="11" s="1"/>
  <c r="F48" i="12" s="1"/>
  <c r="W13" i="11"/>
  <c r="X13" i="11" s="1"/>
  <c r="F12" i="12" s="1"/>
  <c r="W38" i="11"/>
  <c r="X38" i="11" s="1"/>
  <c r="F57" i="12" s="1"/>
  <c r="W51" i="11"/>
  <c r="X51" i="11" s="1"/>
  <c r="F73" i="12" s="1"/>
  <c r="W25" i="11"/>
  <c r="X25" i="11" s="1"/>
  <c r="F32" i="12" s="1"/>
  <c r="W57" i="11"/>
  <c r="X57" i="11" s="1"/>
  <c r="F86" i="12" s="1"/>
  <c r="I86" i="12" s="1"/>
  <c r="J86" i="12" s="1"/>
  <c r="W34" i="11"/>
  <c r="X34" i="11" s="1"/>
  <c r="F51" i="12" s="1"/>
  <c r="W28" i="11"/>
  <c r="X28" i="11" s="1"/>
  <c r="F41" i="12" s="1"/>
  <c r="I41" i="12" s="1"/>
  <c r="J41" i="12" s="1"/>
  <c r="W55" i="11"/>
  <c r="X55" i="11" s="1"/>
  <c r="F77" i="12" s="1"/>
  <c r="W12" i="11"/>
  <c r="X12" i="11" s="1"/>
  <c r="F11" i="12" s="1"/>
  <c r="I11" i="12" s="1"/>
  <c r="J11" i="12" s="1"/>
  <c r="W31" i="11"/>
  <c r="X31" i="11" s="1"/>
  <c r="F47" i="12" s="1"/>
  <c r="W10" i="11"/>
  <c r="X10" i="11" s="1"/>
  <c r="F8" i="12" s="1"/>
  <c r="W48" i="11"/>
  <c r="X48" i="11" s="1"/>
  <c r="F68" i="12" s="1"/>
  <c r="W27" i="11"/>
  <c r="X27" i="11" s="1"/>
  <c r="F35" i="12" s="1"/>
  <c r="W60" i="11"/>
  <c r="X60" i="11" s="1"/>
  <c r="F89" i="12" s="1"/>
  <c r="W11" i="11"/>
  <c r="X11" i="11" s="1"/>
  <c r="F10" i="12" s="1"/>
  <c r="W40" i="11"/>
  <c r="X40" i="11" s="1"/>
  <c r="F59" i="12" s="1"/>
  <c r="W53" i="11"/>
  <c r="X53" i="11" s="1"/>
  <c r="F75" i="12" s="1"/>
  <c r="W30" i="11"/>
  <c r="X30" i="11" s="1"/>
  <c r="F46" i="12" s="1"/>
  <c r="W16" i="11"/>
  <c r="X16" i="11" s="1"/>
  <c r="F20" i="12" s="1"/>
  <c r="I20" i="12" s="1"/>
  <c r="J20" i="12" s="1"/>
  <c r="U6" i="2"/>
  <c r="U3" i="2"/>
  <c r="U4" i="3"/>
  <c r="U26" i="3"/>
  <c r="W26" i="3" s="1"/>
  <c r="U40" i="3"/>
  <c r="W40" i="3" s="1"/>
  <c r="U61" i="3"/>
  <c r="U45" i="3"/>
  <c r="W45" i="3" s="1"/>
  <c r="U50" i="3"/>
  <c r="W50" i="3" s="1"/>
  <c r="U38" i="3"/>
  <c r="W38" i="3" s="1"/>
  <c r="U58" i="3"/>
  <c r="W58" i="3" s="1"/>
  <c r="U48" i="3"/>
  <c r="W48" i="3" s="1"/>
  <c r="U62" i="3"/>
  <c r="W62" i="3" s="1"/>
  <c r="U41" i="3"/>
  <c r="W41" i="3" s="1"/>
  <c r="U42" i="3"/>
  <c r="W42" i="3" s="1"/>
  <c r="U57" i="3"/>
  <c r="W57" i="3" s="1"/>
  <c r="X57" i="3" s="1"/>
  <c r="U59" i="3"/>
  <c r="W59" i="3" s="1"/>
  <c r="U52" i="3"/>
  <c r="W52" i="3" s="1"/>
  <c r="U43" i="3"/>
  <c r="W43" i="3" s="1"/>
  <c r="U39" i="3"/>
  <c r="W39" i="3" s="1"/>
  <c r="U37" i="3"/>
  <c r="W37" i="3" s="1"/>
  <c r="U47" i="3"/>
  <c r="W47" i="3" s="1"/>
  <c r="U54" i="3"/>
  <c r="W54" i="3" s="1"/>
  <c r="U49" i="3"/>
  <c r="W49" i="3" s="1"/>
  <c r="U35" i="3"/>
  <c r="W35" i="3" s="1"/>
  <c r="U60" i="3"/>
  <c r="W60" i="3" s="1"/>
  <c r="U51" i="3"/>
  <c r="W51" i="3" s="1"/>
  <c r="U36" i="3"/>
  <c r="W36" i="3" s="1"/>
  <c r="U46" i="3"/>
  <c r="W46" i="3" s="1"/>
  <c r="U56" i="3"/>
  <c r="U55" i="3"/>
  <c r="W55" i="3" s="1"/>
  <c r="U34" i="3"/>
  <c r="W34" i="3" s="1"/>
  <c r="U44" i="3"/>
  <c r="W44" i="3" s="1"/>
  <c r="U53" i="3"/>
  <c r="W53" i="3" s="1"/>
  <c r="U15" i="3"/>
  <c r="W15" i="3" s="1"/>
  <c r="U13" i="3"/>
  <c r="W13" i="3" s="1"/>
  <c r="U32" i="3"/>
  <c r="W32" i="3" s="1"/>
  <c r="U12" i="3"/>
  <c r="W12" i="3" s="1"/>
  <c r="U10" i="3"/>
  <c r="W10" i="3" s="1"/>
  <c r="U24" i="3"/>
  <c r="W24" i="3" s="1"/>
  <c r="U30" i="3"/>
  <c r="W30" i="3" s="1"/>
  <c r="U27" i="3"/>
  <c r="W27" i="3" s="1"/>
  <c r="U16" i="3"/>
  <c r="W16" i="3" s="1"/>
  <c r="U7" i="3"/>
  <c r="W7" i="3" s="1"/>
  <c r="U21" i="3"/>
  <c r="W21" i="3" s="1"/>
  <c r="U25" i="3"/>
  <c r="W25" i="3" s="1"/>
  <c r="U28" i="3"/>
  <c r="W28" i="3" s="1"/>
  <c r="U8" i="3"/>
  <c r="W8" i="3" s="1"/>
  <c r="U14" i="3"/>
  <c r="W14" i="3" s="1"/>
  <c r="U5" i="3"/>
  <c r="U22" i="3"/>
  <c r="W22" i="3" s="1"/>
  <c r="U29" i="3"/>
  <c r="W29" i="3" s="1"/>
  <c r="X29" i="3" s="1"/>
  <c r="U6" i="3"/>
  <c r="W6" i="3" s="1"/>
  <c r="U23" i="3"/>
  <c r="W23" i="3" s="1"/>
  <c r="U17" i="3"/>
  <c r="W17" i="3" s="1"/>
  <c r="U19" i="3"/>
  <c r="W19" i="3" s="1"/>
  <c r="U20" i="3"/>
  <c r="W20" i="3" s="1"/>
  <c r="U9" i="3"/>
  <c r="W9" i="3" s="1"/>
  <c r="U33" i="3"/>
  <c r="U31" i="3"/>
  <c r="W31" i="3" s="1"/>
  <c r="U18" i="3"/>
  <c r="W18" i="3" s="1"/>
  <c r="U11" i="3"/>
  <c r="W11" i="3" s="1"/>
  <c r="U4" i="2"/>
  <c r="U16" i="2"/>
  <c r="U13" i="2"/>
  <c r="U5" i="2"/>
  <c r="U17" i="2"/>
  <c r="U18" i="2"/>
  <c r="U7" i="2"/>
  <c r="U19" i="2"/>
  <c r="U14" i="2"/>
  <c r="U8" i="2"/>
  <c r="U9" i="2"/>
  <c r="U10" i="2"/>
  <c r="U11" i="2"/>
  <c r="U15" i="2"/>
  <c r="U12" i="2"/>
  <c r="H24" i="12" l="1"/>
  <c r="I24" i="12" s="1"/>
  <c r="J24" i="12" s="1"/>
  <c r="H24" i="9"/>
  <c r="H23" i="12"/>
  <c r="I23" i="12" s="1"/>
  <c r="J23" i="12" s="1"/>
  <c r="H23" i="9"/>
  <c r="H92" i="12"/>
  <c r="I92" i="12" s="1"/>
  <c r="J92" i="12" s="1"/>
  <c r="H91" i="9"/>
  <c r="I91" i="9" s="1"/>
  <c r="J91" i="9" s="1"/>
  <c r="H52" i="12"/>
  <c r="I52" i="12" s="1"/>
  <c r="J52" i="12" s="1"/>
  <c r="H51" i="9"/>
  <c r="I51" i="9" s="1"/>
  <c r="J51" i="9" s="1"/>
  <c r="X45" i="16"/>
  <c r="Y3" i="16"/>
  <c r="H78" i="9"/>
  <c r="I78" i="9" s="1"/>
  <c r="J78" i="9" s="1"/>
  <c r="H79" i="12"/>
  <c r="I79" i="12" s="1"/>
  <c r="J79" i="12" s="1"/>
  <c r="H45" i="9"/>
  <c r="I45" i="9" s="1"/>
  <c r="J45" i="9" s="1"/>
  <c r="H45" i="12"/>
  <c r="I45" i="12" s="1"/>
  <c r="J45" i="12" s="1"/>
  <c r="H26" i="9"/>
  <c r="H26" i="12"/>
  <c r="H84" i="9"/>
  <c r="I84" i="9" s="1"/>
  <c r="J84" i="9" s="1"/>
  <c r="H85" i="12"/>
  <c r="I85" i="12" s="1"/>
  <c r="J85" i="12" s="1"/>
  <c r="I57" i="12"/>
  <c r="J57" i="12" s="1"/>
  <c r="I31" i="12"/>
  <c r="J31" i="12" s="1"/>
  <c r="I18" i="12"/>
  <c r="J18" i="12" s="1"/>
  <c r="I4" i="12"/>
  <c r="J4" i="12" s="1"/>
  <c r="I21" i="12"/>
  <c r="J21" i="12" s="1"/>
  <c r="I27" i="12"/>
  <c r="J27" i="12" s="1"/>
  <c r="I26" i="12"/>
  <c r="J26" i="12" s="1"/>
  <c r="I61" i="12"/>
  <c r="J61" i="12" s="1"/>
  <c r="I63" i="12"/>
  <c r="J63" i="12" s="1"/>
  <c r="I50" i="12"/>
  <c r="J50" i="12" s="1"/>
  <c r="I5" i="12"/>
  <c r="J5" i="12" s="1"/>
  <c r="I66" i="12"/>
  <c r="J66" i="12" s="1"/>
  <c r="I68" i="12"/>
  <c r="J68" i="12" s="1"/>
  <c r="I75" i="12"/>
  <c r="J75" i="12" s="1"/>
  <c r="I89" i="12"/>
  <c r="J89" i="12" s="1"/>
  <c r="I46" i="12"/>
  <c r="J46" i="12" s="1"/>
  <c r="I6" i="12"/>
  <c r="J6" i="12" s="1"/>
  <c r="I69" i="12"/>
  <c r="J69" i="12" s="1"/>
  <c r="I74" i="12"/>
  <c r="J74" i="12" s="1"/>
  <c r="I87" i="12"/>
  <c r="J87" i="12" s="1"/>
  <c r="I3" i="12"/>
  <c r="J3" i="12" s="1"/>
  <c r="I88" i="12"/>
  <c r="J88" i="12" s="1"/>
  <c r="I62" i="12"/>
  <c r="J62" i="12" s="1"/>
  <c r="I54" i="12"/>
  <c r="J54" i="12" s="1"/>
  <c r="I64" i="12"/>
  <c r="J64" i="12" s="1"/>
  <c r="I65" i="12"/>
  <c r="J65" i="12" s="1"/>
  <c r="I48" i="12"/>
  <c r="J48" i="12" s="1"/>
  <c r="I73" i="12"/>
  <c r="J73" i="12" s="1"/>
  <c r="I51" i="12"/>
  <c r="J51" i="12" s="1"/>
  <c r="I77" i="12"/>
  <c r="J77" i="12" s="1"/>
  <c r="I8" i="12"/>
  <c r="J8" i="12" s="1"/>
  <c r="I10" i="12"/>
  <c r="J10" i="12" s="1"/>
  <c r="I59" i="12"/>
  <c r="J59" i="12" s="1"/>
  <c r="X41" i="10"/>
  <c r="G95" i="12"/>
  <c r="W70" i="11"/>
  <c r="Z12" i="11"/>
  <c r="I47" i="12"/>
  <c r="J47" i="12" s="1"/>
  <c r="I56" i="12"/>
  <c r="J56" i="12" s="1"/>
  <c r="I60" i="12"/>
  <c r="J60" i="12" s="1"/>
  <c r="I44" i="12"/>
  <c r="J44" i="12" s="1"/>
  <c r="I58" i="12"/>
  <c r="J58" i="12" s="1"/>
  <c r="I19" i="12"/>
  <c r="J19" i="12" s="1"/>
  <c r="I55" i="12"/>
  <c r="J55" i="12" s="1"/>
  <c r="I70" i="12"/>
  <c r="J70" i="12" s="1"/>
  <c r="I76" i="12"/>
  <c r="J76" i="12" s="1"/>
  <c r="I12" i="12"/>
  <c r="J12" i="12" s="1"/>
  <c r="X41" i="4"/>
  <c r="W33" i="3"/>
  <c r="X33" i="3" s="1"/>
  <c r="F49" i="9" s="1"/>
  <c r="I49" i="9" s="1"/>
  <c r="J49" i="9" s="1"/>
  <c r="W5" i="3"/>
  <c r="X5" i="3" s="1"/>
  <c r="W61" i="3"/>
  <c r="X61" i="3" s="1"/>
  <c r="F89" i="9" s="1"/>
  <c r="I89" i="9" s="1"/>
  <c r="J89" i="9" s="1"/>
  <c r="F77" i="9"/>
  <c r="I77" i="9" s="1"/>
  <c r="J77" i="9" s="1"/>
  <c r="W56" i="3"/>
  <c r="W4" i="3"/>
  <c r="X28" i="3"/>
  <c r="F41" i="9" s="1"/>
  <c r="I41" i="9" s="1"/>
  <c r="J41" i="9" s="1"/>
  <c r="X31" i="3"/>
  <c r="F47" i="9" s="1"/>
  <c r="I47" i="9" s="1"/>
  <c r="J47" i="9" s="1"/>
  <c r="X16" i="3"/>
  <c r="F20" i="9" s="1"/>
  <c r="I20" i="9" s="1"/>
  <c r="J20" i="9" s="1"/>
  <c r="X9" i="3"/>
  <c r="F7" i="9" s="1"/>
  <c r="I7" i="9" s="1"/>
  <c r="J7" i="9" s="1"/>
  <c r="X38" i="3"/>
  <c r="F56" i="9" s="1"/>
  <c r="I56" i="9" s="1"/>
  <c r="J56" i="9" s="1"/>
  <c r="X44" i="3"/>
  <c r="F62" i="9" s="1"/>
  <c r="I62" i="9" s="1"/>
  <c r="J62" i="9" s="1"/>
  <c r="X19" i="3"/>
  <c r="F23" i="9" s="1"/>
  <c r="I23" i="9" s="1"/>
  <c r="J23" i="9" s="1"/>
  <c r="X39" i="3"/>
  <c r="F57" i="9" s="1"/>
  <c r="I57" i="9" s="1"/>
  <c r="J57" i="9" s="1"/>
  <c r="X43" i="3"/>
  <c r="F61" i="9" s="1"/>
  <c r="I61" i="9" s="1"/>
  <c r="J61" i="9" s="1"/>
  <c r="X27" i="3"/>
  <c r="F35" i="9" s="1"/>
  <c r="X52" i="3"/>
  <c r="F73" i="9" s="1"/>
  <c r="I73" i="9" s="1"/>
  <c r="J73" i="9" s="1"/>
  <c r="X40" i="3"/>
  <c r="F58" i="9" s="1"/>
  <c r="I58" i="9" s="1"/>
  <c r="J58" i="9" s="1"/>
  <c r="X8" i="3"/>
  <c r="F6" i="9" s="1"/>
  <c r="I6" i="9" s="1"/>
  <c r="J6" i="9" s="1"/>
  <c r="X48" i="3"/>
  <c r="F67" i="9" s="1"/>
  <c r="I67" i="9" s="1"/>
  <c r="J67" i="9" s="1"/>
  <c r="X15" i="3"/>
  <c r="F19" i="9" s="1"/>
  <c r="I19" i="9" s="1"/>
  <c r="J19" i="9" s="1"/>
  <c r="X47" i="3"/>
  <c r="F65" i="9" s="1"/>
  <c r="I65" i="9" s="1"/>
  <c r="J65" i="9" s="1"/>
  <c r="X37" i="3"/>
  <c r="F55" i="9" s="1"/>
  <c r="I55" i="9" s="1"/>
  <c r="J55" i="9" s="1"/>
  <c r="X34" i="3"/>
  <c r="F50" i="9" s="1"/>
  <c r="I50" i="9" s="1"/>
  <c r="J50" i="9" s="1"/>
  <c r="X17" i="3"/>
  <c r="F21" i="9" s="1"/>
  <c r="I21" i="9" s="1"/>
  <c r="J21" i="9" s="1"/>
  <c r="X30" i="3"/>
  <c r="F46" i="9" s="1"/>
  <c r="I46" i="9" s="1"/>
  <c r="J46" i="9" s="1"/>
  <c r="X26" i="3"/>
  <c r="F33" i="9" s="1"/>
  <c r="I33" i="9" s="1"/>
  <c r="J33" i="9" s="1"/>
  <c r="X49" i="3"/>
  <c r="F68" i="9" s="1"/>
  <c r="I68" i="9" s="1"/>
  <c r="J68" i="9" s="1"/>
  <c r="X54" i="3"/>
  <c r="F75" i="9" s="1"/>
  <c r="I75" i="9" s="1"/>
  <c r="J75" i="9" s="1"/>
  <c r="X53" i="3"/>
  <c r="F74" i="9" s="1"/>
  <c r="I74" i="9" s="1"/>
  <c r="J74" i="9" s="1"/>
  <c r="X21" i="3"/>
  <c r="F26" i="9" s="1"/>
  <c r="I26" i="9" s="1"/>
  <c r="J26" i="9" s="1"/>
  <c r="X6" i="3"/>
  <c r="X46" i="3"/>
  <c r="F64" i="9" s="1"/>
  <c r="I64" i="9" s="1"/>
  <c r="J64" i="9" s="1"/>
  <c r="X24" i="3"/>
  <c r="F31" i="9" s="1"/>
  <c r="I31" i="9" s="1"/>
  <c r="J31" i="9" s="1"/>
  <c r="F85" i="9"/>
  <c r="I85" i="9" s="1"/>
  <c r="J85" i="9" s="1"/>
  <c r="X10" i="3"/>
  <c r="F8" i="9" s="1"/>
  <c r="I8" i="9" s="1"/>
  <c r="J8" i="9" s="1"/>
  <c r="X13" i="3"/>
  <c r="F12" i="9" s="1"/>
  <c r="I12" i="9" s="1"/>
  <c r="J12" i="9" s="1"/>
  <c r="X58" i="3"/>
  <c r="F86" i="9" s="1"/>
  <c r="I86" i="9" s="1"/>
  <c r="J86" i="9" s="1"/>
  <c r="X25" i="3"/>
  <c r="F32" i="9" s="1"/>
  <c r="X20" i="3"/>
  <c r="F24" i="9" s="1"/>
  <c r="I24" i="9" s="1"/>
  <c r="J24" i="9" s="1"/>
  <c r="X50" i="3"/>
  <c r="F69" i="9" s="1"/>
  <c r="I69" i="9" s="1"/>
  <c r="J69" i="9" s="1"/>
  <c r="X7" i="3"/>
  <c r="F5" i="9" s="1"/>
  <c r="I5" i="9" s="1"/>
  <c r="J5" i="9" s="1"/>
  <c r="X45" i="3"/>
  <c r="F63" i="9" s="1"/>
  <c r="I63" i="9" s="1"/>
  <c r="J63" i="9" s="1"/>
  <c r="X55" i="3"/>
  <c r="F76" i="9" s="1"/>
  <c r="I76" i="9" s="1"/>
  <c r="J76" i="9" s="1"/>
  <c r="X23" i="3"/>
  <c r="F30" i="9" s="1"/>
  <c r="X59" i="3"/>
  <c r="F87" i="9" s="1"/>
  <c r="I87" i="9" s="1"/>
  <c r="J87" i="9" s="1"/>
  <c r="F44" i="9"/>
  <c r="I44" i="9" s="1"/>
  <c r="J44" i="9" s="1"/>
  <c r="X36" i="3"/>
  <c r="F54" i="9" s="1"/>
  <c r="I54" i="9" s="1"/>
  <c r="J54" i="9" s="1"/>
  <c r="X12" i="3"/>
  <c r="F11" i="9" s="1"/>
  <c r="I11" i="9" s="1"/>
  <c r="J11" i="9" s="1"/>
  <c r="X60" i="3"/>
  <c r="F88" i="9" s="1"/>
  <c r="I88" i="9" s="1"/>
  <c r="J88" i="9" s="1"/>
  <c r="X41" i="3"/>
  <c r="F59" i="9" s="1"/>
  <c r="I59" i="9" s="1"/>
  <c r="J59" i="9" s="1"/>
  <c r="X22" i="3"/>
  <c r="F27" i="9" s="1"/>
  <c r="I27" i="9" s="1"/>
  <c r="J27" i="9" s="1"/>
  <c r="X51" i="3"/>
  <c r="F72" i="9" s="1"/>
  <c r="I72" i="9" s="1"/>
  <c r="J72" i="9" s="1"/>
  <c r="X42" i="3"/>
  <c r="F60" i="9" s="1"/>
  <c r="I60" i="9" s="1"/>
  <c r="J60" i="9" s="1"/>
  <c r="X11" i="3"/>
  <c r="F10" i="9" s="1"/>
  <c r="I10" i="9" s="1"/>
  <c r="J10" i="9" s="1"/>
  <c r="X18" i="3"/>
  <c r="F22" i="9" s="1"/>
  <c r="I22" i="9" s="1"/>
  <c r="J22" i="9" s="1"/>
  <c r="X14" i="3"/>
  <c r="F18" i="9" s="1"/>
  <c r="I18" i="9" s="1"/>
  <c r="J18" i="9" s="1"/>
  <c r="X32" i="3"/>
  <c r="F48" i="9" s="1"/>
  <c r="I48" i="9" s="1"/>
  <c r="J48" i="9" s="1"/>
  <c r="X35" i="3"/>
  <c r="F53" i="9" s="1"/>
  <c r="I53" i="9" s="1"/>
  <c r="J53" i="9" s="1"/>
  <c r="X62" i="3"/>
  <c r="F90" i="9" s="1"/>
  <c r="I90" i="9" s="1"/>
  <c r="J90" i="9" s="1"/>
  <c r="U70" i="3"/>
  <c r="F95" i="12" l="1"/>
  <c r="I95" i="12" s="1"/>
  <c r="J95" i="12" s="1"/>
  <c r="X63" i="11"/>
  <c r="W70" i="3"/>
  <c r="X4" i="3"/>
  <c r="F94" i="9" s="1"/>
  <c r="F4" i="9"/>
  <c r="I4" i="9" s="1"/>
  <c r="J4" i="9" s="1"/>
  <c r="F3" i="9"/>
  <c r="I3" i="9" s="1"/>
  <c r="I94" i="9" l="1"/>
  <c r="J94" i="9" s="1"/>
  <c r="X63" i="3"/>
  <c r="J3" i="9"/>
  <c r="D7" i="6"/>
  <c r="D23" i="6" s="1"/>
  <c r="V20" i="2" l="1"/>
  <c r="V18" i="2" l="1"/>
  <c r="W18" i="2" s="1"/>
  <c r="V11" i="2"/>
  <c r="W11" i="2" s="1"/>
  <c r="V15" i="2"/>
  <c r="W15" i="2" s="1"/>
  <c r="V19" i="2"/>
  <c r="V3" i="2"/>
  <c r="W3" i="2" s="1"/>
  <c r="E14" i="12" s="1"/>
  <c r="I14" i="12" s="1"/>
  <c r="V4" i="2"/>
  <c r="W4" i="2" s="1"/>
  <c r="V13" i="2"/>
  <c r="W13" i="2" s="1"/>
  <c r="V12" i="2"/>
  <c r="W12" i="2" s="1"/>
  <c r="V7" i="2"/>
  <c r="W7" i="2" s="1"/>
  <c r="V9" i="2"/>
  <c r="W9" i="2" s="1"/>
  <c r="V10" i="2"/>
  <c r="W10" i="2" s="1"/>
  <c r="V17" i="2"/>
  <c r="W17" i="2" s="1"/>
  <c r="V14" i="2"/>
  <c r="W14" i="2" s="1"/>
  <c r="V16" i="2"/>
  <c r="W16" i="2" s="1"/>
  <c r="V8" i="2"/>
  <c r="W8" i="2" s="1"/>
  <c r="V5" i="2"/>
  <c r="W5" i="2" s="1"/>
  <c r="V6" i="2"/>
  <c r="W6" i="2" s="1"/>
  <c r="E42" i="9" l="1"/>
  <c r="I42" i="9" s="1"/>
  <c r="J42" i="9" s="1"/>
  <c r="E42" i="12"/>
  <c r="I42" i="12" s="1"/>
  <c r="J42" i="12" s="1"/>
  <c r="E34" i="9"/>
  <c r="I34" i="9" s="1"/>
  <c r="J34" i="9" s="1"/>
  <c r="E34" i="12"/>
  <c r="I34" i="12" s="1"/>
  <c r="J34" i="12" s="1"/>
  <c r="E38" i="9"/>
  <c r="I38" i="9" s="1"/>
  <c r="J38" i="9" s="1"/>
  <c r="E38" i="12"/>
  <c r="I38" i="12" s="1"/>
  <c r="J38" i="12" s="1"/>
  <c r="J14" i="12"/>
  <c r="E16" i="9"/>
  <c r="I16" i="9" s="1"/>
  <c r="J16" i="9" s="1"/>
  <c r="E16" i="12"/>
  <c r="I16" i="12" s="1"/>
  <c r="J16" i="12" s="1"/>
  <c r="E36" i="9"/>
  <c r="I36" i="9" s="1"/>
  <c r="J36" i="9" s="1"/>
  <c r="E36" i="12"/>
  <c r="I36" i="12" s="1"/>
  <c r="J36" i="12" s="1"/>
  <c r="E35" i="9"/>
  <c r="I35" i="9" s="1"/>
  <c r="J35" i="9" s="1"/>
  <c r="E35" i="12"/>
  <c r="I35" i="12" s="1"/>
  <c r="J35" i="12" s="1"/>
  <c r="E28" i="9"/>
  <c r="I28" i="9" s="1"/>
  <c r="J28" i="9" s="1"/>
  <c r="E28" i="12"/>
  <c r="I28" i="12" s="1"/>
  <c r="J28" i="12" s="1"/>
  <c r="E30" i="9"/>
  <c r="I30" i="9" s="1"/>
  <c r="J30" i="9" s="1"/>
  <c r="E30" i="12"/>
  <c r="I30" i="12" s="1"/>
  <c r="J30" i="12" s="1"/>
  <c r="E32" i="9"/>
  <c r="I32" i="9" s="1"/>
  <c r="J32" i="9" s="1"/>
  <c r="E32" i="12"/>
  <c r="I32" i="12" s="1"/>
  <c r="J32" i="12" s="1"/>
  <c r="E40" i="9"/>
  <c r="I40" i="9" s="1"/>
  <c r="J40" i="9" s="1"/>
  <c r="E40" i="12"/>
  <c r="I40" i="12" s="1"/>
  <c r="J40" i="12" s="1"/>
  <c r="E37" i="9"/>
  <c r="I37" i="9" s="1"/>
  <c r="J37" i="9" s="1"/>
  <c r="E37" i="12"/>
  <c r="I37" i="12" s="1"/>
  <c r="J37" i="12" s="1"/>
  <c r="E39" i="9"/>
  <c r="I39" i="9" s="1"/>
  <c r="J39" i="9" s="1"/>
  <c r="E39" i="12"/>
  <c r="I39" i="12" s="1"/>
  <c r="J39" i="12" s="1"/>
  <c r="E29" i="9"/>
  <c r="I29" i="9" s="1"/>
  <c r="J29" i="9" s="1"/>
  <c r="E29" i="12"/>
  <c r="I29" i="12" s="1"/>
  <c r="J29" i="12" s="1"/>
  <c r="E17" i="9"/>
  <c r="I17" i="9" s="1"/>
  <c r="J17" i="9" s="1"/>
  <c r="E17" i="12"/>
  <c r="I17" i="12" s="1"/>
  <c r="J17" i="12" s="1"/>
  <c r="E25" i="9"/>
  <c r="I25" i="9" s="1"/>
  <c r="J25" i="9" s="1"/>
  <c r="E25" i="12"/>
  <c r="I25" i="12" s="1"/>
  <c r="J25" i="12" s="1"/>
  <c r="E14" i="9"/>
  <c r="I14" i="9" s="1"/>
  <c r="W20" i="2"/>
  <c r="J96" i="12" l="1"/>
  <c r="I95" i="9"/>
  <c r="J95" i="9" s="1"/>
  <c r="J1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tc={5516BF4C-921F-4635-BDC4-7C894B5D8BE1}</author>
    <author>tc={34697D4B-EF0A-4613-BA4A-E52D2F4B9896}</author>
    <author>tc={87DD0D3F-3E56-4846-8EB2-D1807192E64A}</author>
    <author>tc={C5E18C12-3B9A-490B-817C-C0E9C0CD3D01}</author>
    <author>tc={B857678D-7FC8-4166-85D6-C4E98AB00C7B}</author>
  </authors>
  <commentList>
    <comment ref="K10" authorId="0" shapeId="0" xr:uid="{5516BF4C-921F-4635-BDC4-7C894B5D8BE1}">
      <text>
        <t>[Threaded comment]
Your version of Excel allows you to read this threaded comment; however, any edits to it will get removed if the file is opened in a newer version of Excel. Learn more: https://go.microsoft.com/fwlink/?linkid=870924
Comment:
    -4000, most of excavation in 4B swale</t>
      </text>
    </comment>
    <comment ref="K23" authorId="1" shapeId="0" xr:uid="{34697D4B-EF0A-4613-BA4A-E52D2F4B9896}">
      <text>
        <t>[Threaded comment]
Your version of Excel allows you to read this threaded comment; however, any edits to it will get removed if the file is opened in a newer version of Excel. Learn more: https://go.microsoft.com/fwlink/?linkid=870924
Comment:
    -3625sy</t>
      </text>
    </comment>
    <comment ref="K31" authorId="2" shapeId="0" xr:uid="{87DD0D3F-3E56-4846-8EB2-D1807192E64A}">
      <text>
        <t>[Threaded comment]
Your version of Excel allows you to read this threaded comment; however, any edits to it will get removed if the file is opened in a newer version of Excel. Learn more: https://go.microsoft.com/fwlink/?linkid=870924
Comment:
    -1451ft</t>
      </text>
    </comment>
    <comment ref="K35" authorId="3" shapeId="0" xr:uid="{C5E18C12-3B9A-490B-817C-C0E9C0CD3D01}">
      <text>
        <t>[Threaded comment]
Your version of Excel allows you to read this threaded comment; however, any edits to it will get removed if the file is opened in a newer version of Excel. Learn more: https://go.microsoft.com/fwlink/?linkid=870924
Comment:
    -1809’</t>
      </text>
    </comment>
    <comment ref="K45" authorId="4" shapeId="0" xr:uid="{B857678D-7FC8-4166-85D6-C4E98AB00C7B}">
      <text>
        <t>[Threaded comment]
Your version of Excel allows you to read this threaded comment; however, any edits to it will get removed if the file is opened in a newer version of Excel. Learn more: https://go.microsoft.com/fwlink/?linkid=870924
Comment:
    -8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tc={20C3E258-7A93-4F1E-9B71-2DB08E73CECC}</author>
  </authors>
  <commentList>
    <comment ref="S2" authorId="0" shapeId="0" xr:uid="{20C3E258-7A93-4F1E-9B71-2DB08E73CECC}">
      <text>
        <t>[Threaded comment]
Your version of Excel allows you to read this threaded comment; however, any edits to it will get removed if the file is opened in a newer version of Excel. Learn more: https://go.microsoft.com/fwlink/?linkid=870924
Comment:
    -0.1 for every 0.25 miles from improvement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tc={31950C04-F3DD-465B-80E5-4DE2C536F278}</author>
    <author>tc={AA8885D3-1737-4704-B1FE-1F1303B17F54}</author>
  </authors>
  <commentList>
    <comment ref="A2" authorId="0" shapeId="0" xr:uid="{31950C04-F3DD-465B-80E5-4DE2C536F278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also includes Area 3 parcels because area 3 drains to Area 2</t>
      </text>
    </comment>
    <comment ref="S2" authorId="1" shapeId="0" xr:uid="{AA8885D3-1737-4704-B1FE-1F1303B17F54}">
      <text>
        <t>[Threaded comment]
Your version of Excel allows you to read this threaded comment; however, any edits to it will get removed if the file is opened in a newer version of Excel. Learn more: https://go.microsoft.com/fwlink/?linkid=870924
Comment:
    -0.1 for every 0.25 miles from improvement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tc={2BE2F6F8-75B3-4248-AD12-0AA8410FE0D4}</author>
    <author>tc={00A1EC7D-81D1-44E4-B534-095DA98477AF}</author>
  </authors>
  <commentList>
    <comment ref="A2" authorId="0" shapeId="0" xr:uid="{2BE2F6F8-75B3-4248-AD12-0AA8410FE0D4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also includes Area 3 parcels because area 3 drains to Area 2</t>
      </text>
    </comment>
    <comment ref="S2" authorId="1" shapeId="0" xr:uid="{00A1EC7D-81D1-44E4-B534-095DA98477AF}">
      <text>
        <t>[Threaded comment]
Your version of Excel allows you to read this threaded comment; however, any edits to it will get removed if the file is opened in a newer version of Excel. Learn more: https://go.microsoft.com/fwlink/?linkid=870924
Comment:
    -0.1 for every 0.25 miles from improvement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tc={9E811FE0-AE43-494C-9B79-D9E8F21ECD78}</author>
    <author>tc={AAFFB4E7-0FB2-4C4E-986A-C373192A519E}</author>
  </authors>
  <commentList>
    <comment ref="S2" authorId="0" shapeId="0" xr:uid="{9E811FE0-AE43-494C-9B79-D9E8F21ECD78}">
      <text>
        <t>[Threaded comment]
Your version of Excel allows you to read this threaded comment; however, any edits to it will get removed if the file is opened in a newer version of Excel. Learn more: https://go.microsoft.com/fwlink/?linkid=870924
Comment:
    -0.1 for every 0.25 miles from improvement</t>
      </text>
    </comment>
    <comment ref="K14" authorId="1" shapeId="0" xr:uid="{AAFFB4E7-0FB2-4C4E-986A-C373192A519E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areas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tc={5EE27534-AD3E-47FA-BF2C-F8785A075FB0}</author>
    <author>tc={5782FC6A-2C8C-487B-85DF-55F4DE7517D3}</author>
  </authors>
  <commentList>
    <comment ref="S2" authorId="0" shapeId="0" xr:uid="{5EE27534-AD3E-47FA-BF2C-F8785A075FB0}">
      <text>
        <t>[Threaded comment]
Your version of Excel allows you to read this threaded comment; however, any edits to it will get removed if the file is opened in a newer version of Excel. Learn more: https://go.microsoft.com/fwlink/?linkid=870924
Comment:
    -0.1 for every 0.25 miles from improvement</t>
      </text>
    </comment>
    <comment ref="K14" authorId="1" shapeId="0" xr:uid="{5782FC6A-2C8C-487B-85DF-55F4DE7517D3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areas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tc={2D4BDD05-75B8-4DA1-AA80-1F7B6E86C466}</author>
    <author>tc={7DE2D644-E425-40D5-805A-B3C631C8B38E}</author>
    <author>tc={2A63191E-4B9F-440C-8989-09839119AB41}</author>
  </authors>
  <commentList>
    <comment ref="S2" authorId="0" shapeId="0" xr:uid="{2D4BDD05-75B8-4DA1-AA80-1F7B6E86C466}">
      <text>
        <t>[Threaded comment]
Your version of Excel allows you to read this threaded comment; however, any edits to it will get removed if the file is opened in a newer version of Excel. Learn more: https://go.microsoft.com/fwlink/?linkid=870924
Comment:
    -0.1 for every 0.25 miles from improvement</t>
      </text>
    </comment>
    <comment ref="V42" authorId="1" shapeId="0" xr:uid="{7DE2D644-E425-40D5-805A-B3C631C8B38E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Direct Assessment</t>
      </text>
    </comment>
    <comment ref="W42" authorId="2" shapeId="0" xr:uid="{2A63191E-4B9F-440C-8989-09839119AB41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assessed cost- direct assessment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tc={57FFE00C-396F-4EDB-B69F-6280131A4D28}</author>
    <author>tc={BFD7D4A4-216F-4857-BBD3-899A270339E0}</author>
    <author>tc={BBE7FBD6-45F3-41AB-9B39-7C2FE67DF64B}</author>
  </authors>
  <commentList>
    <comment ref="S2" authorId="0" shapeId="0" xr:uid="{57FFE00C-396F-4EDB-B69F-6280131A4D28}">
      <text>
        <t>[Threaded comment]
Your version of Excel allows you to read this threaded comment; however, any edits to it will get removed if the file is opened in a newer version of Excel. Learn more: https://go.microsoft.com/fwlink/?linkid=870924
Comment:
    -0.1 for every 0.25 miles from improvement</t>
      </text>
    </comment>
    <comment ref="V42" authorId="1" shapeId="0" xr:uid="{BFD7D4A4-216F-4857-BBD3-899A270339E0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Direct Assessment</t>
      </text>
    </comment>
    <comment ref="W42" authorId="2" shapeId="0" xr:uid="{BBE7FBD6-45F3-41AB-9B39-7C2FE67DF64B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assessed cost- direct assessment</t>
      </text>
    </comment>
  </commentList>
</comments>
</file>

<file path=xl/sharedStrings.xml><?xml version="1.0" encoding="utf-8"?>
<sst xmlns="http://schemas.openxmlformats.org/spreadsheetml/2006/main" count="4295" uniqueCount="754">
  <si>
    <t>Area 1</t>
  </si>
  <si>
    <t>Engineering Design</t>
  </si>
  <si>
    <t>Constrution Inspection</t>
  </si>
  <si>
    <t>Construction</t>
  </si>
  <si>
    <t>Drainage Maintenance Startup (2.5%)</t>
  </si>
  <si>
    <t>Area 1 Total</t>
  </si>
  <si>
    <t>Area 2</t>
  </si>
  <si>
    <t>Area 2 Total</t>
  </si>
  <si>
    <t>Area3</t>
  </si>
  <si>
    <t>Area 3 Total</t>
  </si>
  <si>
    <t>Area 4</t>
  </si>
  <si>
    <t>Area 4 Total</t>
  </si>
  <si>
    <t>Total Project Cost</t>
  </si>
  <si>
    <t>Total design cost from Moody</t>
  </si>
  <si>
    <t>Area 3</t>
  </si>
  <si>
    <t>Description</t>
  </si>
  <si>
    <t>Unit</t>
  </si>
  <si>
    <t xml:space="preserve">Unit Cost </t>
  </si>
  <si>
    <t>Area 1 Quantity</t>
  </si>
  <si>
    <t>Area 1 Cost</t>
  </si>
  <si>
    <t>Area 2 Quantity</t>
  </si>
  <si>
    <t>Area 2 Cost</t>
  </si>
  <si>
    <t>Area 3 Quantity</t>
  </si>
  <si>
    <t>Area 3 Cost</t>
  </si>
  <si>
    <t>Area 4 Quantity</t>
  </si>
  <si>
    <t>Area 4 Cost</t>
  </si>
  <si>
    <t>Total Quantity</t>
  </si>
  <si>
    <t>Total Cost</t>
  </si>
  <si>
    <t>FT</t>
  </si>
  <si>
    <t>201E11000</t>
  </si>
  <si>
    <t>Clearing and Grubbing</t>
  </si>
  <si>
    <t>LS</t>
  </si>
  <si>
    <t>201E21800</t>
  </si>
  <si>
    <t>Tree Removed, 18" Size</t>
  </si>
  <si>
    <t>EA</t>
  </si>
  <si>
    <t>201E23000</t>
  </si>
  <si>
    <t>Tree Removed, 30" Size</t>
  </si>
  <si>
    <t>202E35100</t>
  </si>
  <si>
    <t>Pipe Removed 24" and Under</t>
  </si>
  <si>
    <t>202E35200</t>
  </si>
  <si>
    <t>Pipe Removed 24" and Over</t>
  </si>
  <si>
    <t>202E58100</t>
  </si>
  <si>
    <t>Catch Basin Removed</t>
  </si>
  <si>
    <t>202E75200</t>
  </si>
  <si>
    <t>Fence Removed and Replaced</t>
  </si>
  <si>
    <t>203E10000</t>
  </si>
  <si>
    <t>Excavation</t>
  </si>
  <si>
    <t>CY</t>
  </si>
  <si>
    <t>Excavation (Used as Directed by Engineer)</t>
  </si>
  <si>
    <t>203E20000</t>
  </si>
  <si>
    <t>Embankment (Used as Directed by Engineer)</t>
  </si>
  <si>
    <t>203E35000</t>
  </si>
  <si>
    <t>Embankment #2 Stone (Used as Directed by Engineer)</t>
  </si>
  <si>
    <t>Embankment #57 Stone (Used as Directed by Engineer)</t>
  </si>
  <si>
    <t>653E10001</t>
  </si>
  <si>
    <t>Topsoil Furnished and Placed, As Per Plan</t>
  </si>
  <si>
    <t>606E16500</t>
  </si>
  <si>
    <t>Guardrail, Rebuilt, Type</t>
  </si>
  <si>
    <t>690E50350</t>
  </si>
  <si>
    <t>Mailbox Removed and Reset</t>
  </si>
  <si>
    <t>Spec</t>
  </si>
  <si>
    <t>Utility Pole Support, As Per Plan</t>
  </si>
  <si>
    <t>Hydro Excavating Utility Exposure (Used as Directed by Engineer)</t>
  </si>
  <si>
    <t>Erosion Control</t>
  </si>
  <si>
    <t>601E11000</t>
  </si>
  <si>
    <t>Riprap Using 6" Reinforced Concrete Slab</t>
  </si>
  <si>
    <t>SY</t>
  </si>
  <si>
    <t>601E32200</t>
  </si>
  <si>
    <t>Rock Channel Protection, Type C With Filter</t>
  </si>
  <si>
    <t>659E00501</t>
  </si>
  <si>
    <t>Seeding and Mulching, As Per Plan</t>
  </si>
  <si>
    <t>659E35001</t>
  </si>
  <si>
    <t>Water, As Per Plan</t>
  </si>
  <si>
    <t>MGAL</t>
  </si>
  <si>
    <t>832E30000</t>
  </si>
  <si>
    <t>SWPPP</t>
  </si>
  <si>
    <t>Drainage</t>
  </si>
  <si>
    <t>602E20000</t>
  </si>
  <si>
    <t>Concrete Masonry</t>
  </si>
  <si>
    <t>12" Conduit, Type B, 707.33</t>
  </si>
  <si>
    <t>611E04600</t>
  </si>
  <si>
    <t>12" Conduit, Type C Perforated (707.33, Type SP)</t>
  </si>
  <si>
    <t>12" Conduit, Type C, 707.33</t>
  </si>
  <si>
    <t>12" Conduit, Type C, 706.02</t>
  </si>
  <si>
    <t>611E07400</t>
  </si>
  <si>
    <t>18" Conduit, Type B, 707.33</t>
  </si>
  <si>
    <t>18" Conduit, Type B, 706.02</t>
  </si>
  <si>
    <t>611E07600</t>
  </si>
  <si>
    <t>18" Conduit, Type C Perforated (707.33, Type SP)</t>
  </si>
  <si>
    <t>18" Conduit, Type C, 706.02</t>
  </si>
  <si>
    <t>611E10400</t>
  </si>
  <si>
    <t>24" Conduit, Type B, 707.33</t>
  </si>
  <si>
    <t>611E10600</t>
  </si>
  <si>
    <t>24" Conduit, Type C, 707.33</t>
  </si>
  <si>
    <t>24" Conduit, Type C, 706.02</t>
  </si>
  <si>
    <t>611E13400</t>
  </si>
  <si>
    <t>30" Conduit, Type B, (PE-HP Dual Wall)</t>
  </si>
  <si>
    <t>611E13600</t>
  </si>
  <si>
    <t>30" Conduit, Type C, 706.02</t>
  </si>
  <si>
    <t>611E21100</t>
  </si>
  <si>
    <t>48" Conduit, Type C, 707.33</t>
  </si>
  <si>
    <t>611E53200</t>
  </si>
  <si>
    <t>48"x76" Conduit, Type A, 706.04</t>
  </si>
  <si>
    <t>611E99574</t>
  </si>
  <si>
    <t>Manhole No. 3</t>
  </si>
  <si>
    <t>611E98470</t>
  </si>
  <si>
    <t>Catch Basin (CB 2-2B)</t>
  </si>
  <si>
    <t>611E98510</t>
  </si>
  <si>
    <t>Catch Basin (CB 2-3)</t>
  </si>
  <si>
    <t>611E98540</t>
  </si>
  <si>
    <t>Catch Basin (CB 2-4)</t>
  </si>
  <si>
    <t>611E98570</t>
  </si>
  <si>
    <t>Catch Basin (CB 2-5)</t>
  </si>
  <si>
    <t>611E00201</t>
  </si>
  <si>
    <t>4" Conduit, Type C, Schedule 40 PVC, As Per Plan</t>
  </si>
  <si>
    <t>611E01101</t>
  </si>
  <si>
    <t>6" Conduit, Type C, Schedule 40 PVC, As Per Plan</t>
  </si>
  <si>
    <t>611E02001</t>
  </si>
  <si>
    <t>8" Conduit, Type C, Schedule 40 PVC, As Per Plan</t>
  </si>
  <si>
    <t>Ditch Maintenance, As Per Plan</t>
  </si>
  <si>
    <t>Pavement</t>
  </si>
  <si>
    <t>253E01000</t>
  </si>
  <si>
    <t>Pavement Repair (Roadway), See Detail, Sheet 6</t>
  </si>
  <si>
    <t>Pavement Repair (Drives), See Detail, Sheet 6</t>
  </si>
  <si>
    <t>Traffic</t>
  </si>
  <si>
    <t>630E85100</t>
  </si>
  <si>
    <t>Removal of Ground Mounted Sign and Reerection</t>
  </si>
  <si>
    <t>Incidentals</t>
  </si>
  <si>
    <t>614E11001</t>
  </si>
  <si>
    <t>Maintaining Traffic, As Per Plan</t>
  </si>
  <si>
    <t>623E10000</t>
  </si>
  <si>
    <t>Construction Layout Stakes and Surveying</t>
  </si>
  <si>
    <t>624E15000</t>
  </si>
  <si>
    <t>Mobilization</t>
  </si>
  <si>
    <t>Contingency (20%)</t>
  </si>
  <si>
    <t>Bond</t>
  </si>
  <si>
    <t>Project Total</t>
  </si>
  <si>
    <t>check</t>
  </si>
  <si>
    <t>602E97000</t>
  </si>
  <si>
    <t>Masonry, Misc: Concrete Channel, As Per Plan</t>
  </si>
  <si>
    <t>18" Conduit, Type C Perforated (707.33)</t>
  </si>
  <si>
    <t>Real Estate Acquisition</t>
  </si>
  <si>
    <t>ACRE</t>
  </si>
  <si>
    <t>Work in ROW</t>
  </si>
  <si>
    <t>Within Morris Road ROW Section 2</t>
  </si>
  <si>
    <t>Item</t>
  </si>
  <si>
    <t>Quantity</t>
  </si>
  <si>
    <t>Unit Cost</t>
  </si>
  <si>
    <t>Guardrail Rebuilt, Type 5</t>
  </si>
  <si>
    <t>Pavement Repair (Roadway)</t>
  </si>
  <si>
    <t>Ditch Maintenance</t>
  </si>
  <si>
    <t>Sign Removed and Reinstalled</t>
  </si>
  <si>
    <t>RCP, Tye C</t>
  </si>
  <si>
    <t>24" Conduit, Type B, 706.02</t>
  </si>
  <si>
    <t>CB 2-3</t>
  </si>
  <si>
    <t>Total</t>
  </si>
  <si>
    <t>Within Morris Road ROW Section 3</t>
  </si>
  <si>
    <t>CB 2-4</t>
  </si>
  <si>
    <t>30" Conduit, Type B PE-HP Dual Wall)</t>
  </si>
  <si>
    <t>Pipe Removed, 24" and under</t>
  </si>
  <si>
    <t>CB Removed</t>
  </si>
  <si>
    <t>Within Brown Township ROW</t>
  </si>
  <si>
    <t>Within Patterson Road ROW</t>
  </si>
  <si>
    <t>Work downstream of Patterson Road that would upsize the pipe from ag standards to road standards</t>
  </si>
  <si>
    <t>It is a 48" downstream of Patterson Road, where it combines the 24" from Patterson with an 18" drain tile. If the 24" was really a 12", the downstream tile could be a 24"</t>
  </si>
  <si>
    <t>Unit Price</t>
  </si>
  <si>
    <t>CB 2-2B</t>
  </si>
  <si>
    <t>Downstream Quantity:</t>
  </si>
  <si>
    <t>LF</t>
  </si>
  <si>
    <t>With road standards</t>
  </si>
  <si>
    <t>W/out road standards</t>
  </si>
  <si>
    <t>Total:</t>
  </si>
  <si>
    <t>18"</t>
  </si>
  <si>
    <t>4.8 cfs</t>
  </si>
  <si>
    <t>24"</t>
  </si>
  <si>
    <t>11 cfs</t>
  </si>
  <si>
    <t>12"</t>
  </si>
  <si>
    <t>1.74 cfs</t>
  </si>
  <si>
    <t>Pavement Repair (Drives)</t>
  </si>
  <si>
    <t>Instead:</t>
  </si>
  <si>
    <t>48"</t>
  </si>
  <si>
    <t>48 cfs</t>
  </si>
  <si>
    <t>7.56 cfs</t>
  </si>
  <si>
    <t>Difference (to be assessed to county)</t>
  </si>
  <si>
    <t>Within Franklin County ROW</t>
  </si>
  <si>
    <t>Total Direct Assessment to Franklin County</t>
  </si>
  <si>
    <t>PARCELID</t>
  </si>
  <si>
    <t>Site Address</t>
  </si>
  <si>
    <t>Owner Name 1</t>
  </si>
  <si>
    <t>Owner Name 2</t>
  </si>
  <si>
    <t>Owner Address 1</t>
  </si>
  <si>
    <t>Owner Address 2</t>
  </si>
  <si>
    <t>Tax Mailing Name 1</t>
  </si>
  <si>
    <t>Tax Mailing Name 2</t>
  </si>
  <si>
    <t>Tax Mailing Address</t>
  </si>
  <si>
    <t>Tax Mailing City ST Zip</t>
  </si>
  <si>
    <t>Watershed 1 Parcel Area (acre)</t>
  </si>
  <si>
    <t>A</t>
  </si>
  <si>
    <t>R</t>
  </si>
  <si>
    <t>R1</t>
  </si>
  <si>
    <t>I/C/ROW</t>
  </si>
  <si>
    <t>W</t>
  </si>
  <si>
    <t>Land Use Factor</t>
  </si>
  <si>
    <t>% Used</t>
  </si>
  <si>
    <t>Remoteness</t>
  </si>
  <si>
    <t>Base</t>
  </si>
  <si>
    <t>Base %</t>
  </si>
  <si>
    <t>Estimated Assessment</t>
  </si>
  <si>
    <t>Calculated Assessment</t>
  </si>
  <si>
    <t>120-000172</t>
  </si>
  <si>
    <t>8501 PATTERSON RD</t>
  </si>
  <si>
    <t>BAYLOR RICHARD C</t>
  </si>
  <si>
    <t>BAYLOR MAURA L</t>
  </si>
  <si>
    <t>HILLIARD, OH 43026</t>
  </si>
  <si>
    <t>CORELOGIC</t>
  </si>
  <si>
    <t>PO BOX 9202 COPPELL TX 75019-9208</t>
  </si>
  <si>
    <t>COPPELL TX 75019-9208</t>
  </si>
  <si>
    <t>120-000463</t>
  </si>
  <si>
    <t>PATTERSON RD</t>
  </si>
  <si>
    <t>RICHARD C BAYLOR</t>
  </si>
  <si>
    <t>MAURA L  BAYLOR</t>
  </si>
  <si>
    <t>8501 PATTERSON RD HILLIARD OH 43026-8429</t>
  </si>
  <si>
    <t>HILLIARD OH 43026-8429</t>
  </si>
  <si>
    <t>120-000464</t>
  </si>
  <si>
    <t>8455 PATTERSON RD</t>
  </si>
  <si>
    <t>STAINES BETHANY</t>
  </si>
  <si>
    <t>HILLIARD, OH 43026-8428</t>
  </si>
  <si>
    <t>BETHANY STAINES</t>
  </si>
  <si>
    <t>8455 PATTERSON RD HILLIARD OH 43026-8428</t>
  </si>
  <si>
    <t>HILLIARD OH 43026-8428</t>
  </si>
  <si>
    <t>120-000555</t>
  </si>
  <si>
    <t>8372 MORRIS RD</t>
  </si>
  <si>
    <t>ANDROMEDA A SANDOLL</t>
  </si>
  <si>
    <t>BLANKENSHIP LESLIE A</t>
  </si>
  <si>
    <t>HILLIARD, OH 43026-9750</t>
  </si>
  <si>
    <t>SANDOLL A ANDROMEDA</t>
  </si>
  <si>
    <t>8372 MORRIS RD HILLIARD OH 43026-9750</t>
  </si>
  <si>
    <t>HILLIARD OH 43026-9750</t>
  </si>
  <si>
    <t>120-000561</t>
  </si>
  <si>
    <t>8570 MORRIS RD</t>
  </si>
  <si>
    <t>SCHULTE THOMAS DEAN JR</t>
  </si>
  <si>
    <t>1535 FAIRWAY DR</t>
  </si>
  <si>
    <t>GROVE CITY, OH 43123</t>
  </si>
  <si>
    <t>LERETA</t>
  </si>
  <si>
    <t>901 CORPORATE CENTER DR POMONA CA 91768-2642</t>
  </si>
  <si>
    <t>POMONA CA 91768-2642</t>
  </si>
  <si>
    <t>120-000562</t>
  </si>
  <si>
    <t>8558 MORRIS RD</t>
  </si>
  <si>
    <t>DREAM PARK FARM LLC</t>
  </si>
  <si>
    <t>8558 MORRIS RD HILLIARD OH 43026-8484</t>
  </si>
  <si>
    <t>HILLIARD OH 43026-8484</t>
  </si>
  <si>
    <t>120-000564</t>
  </si>
  <si>
    <t>8396 MORRIS RD</t>
  </si>
  <si>
    <t>JIGA ELAINE TOD</t>
  </si>
  <si>
    <t>ELAINE JIGA</t>
  </si>
  <si>
    <t>8396 MORRIS RD HILLIARD OH 43026-9750</t>
  </si>
  <si>
    <t>120-000652</t>
  </si>
  <si>
    <t>8384 MORRIS RD</t>
  </si>
  <si>
    <t>JOHNSON BRIANA RACHEL</t>
  </si>
  <si>
    <t>120-000715</t>
  </si>
  <si>
    <t>8531 PATTERSON RD</t>
  </si>
  <si>
    <t>SALHAH HIBA</t>
  </si>
  <si>
    <t>RABABAH AMIN</t>
  </si>
  <si>
    <t>FIRST NATIONAL BANK OF PA</t>
  </si>
  <si>
    <t>4140 E STATE STREET HERMITAGE PA 16148-3401</t>
  </si>
  <si>
    <t>HERMITAGE PA 16148-3401</t>
  </si>
  <si>
    <t>120-000726</t>
  </si>
  <si>
    <t>8390 MORRIS RD</t>
  </si>
  <si>
    <t>BROWN GEORGE E</t>
  </si>
  <si>
    <t>BROWN SHARON A</t>
  </si>
  <si>
    <t>120-000751</t>
  </si>
  <si>
    <t>8625 PATTERSON RD</t>
  </si>
  <si>
    <t>PURCELL PAULA TR</t>
  </si>
  <si>
    <t>PAULA PURCELL</t>
  </si>
  <si>
    <t>8625 PATTERSON RD HILLIARD OH 43026-9495</t>
  </si>
  <si>
    <t>HILLIARD OH 43026-9495</t>
  </si>
  <si>
    <t>120-000752</t>
  </si>
  <si>
    <t>8555 PATTERSON RD</t>
  </si>
  <si>
    <t>KIPKER HAROLD L</t>
  </si>
  <si>
    <t>KIPKER CINDY J</t>
  </si>
  <si>
    <t>HAROLD L KIPKER</t>
  </si>
  <si>
    <t>CINDY J KIPKER</t>
  </si>
  <si>
    <t>8555 PATTERSON RD HILLIARD OH 43026-8429</t>
  </si>
  <si>
    <t>120-000755</t>
  </si>
  <si>
    <t>8655 PATTERSON RD</t>
  </si>
  <si>
    <t>RUWE GREGORY A</t>
  </si>
  <si>
    <t>RUWE GAYLE A</t>
  </si>
  <si>
    <t>GREGORY A RUWE</t>
  </si>
  <si>
    <t>GAYLE A RUWE</t>
  </si>
  <si>
    <t>8655 PATTERSON RD HILLIARD OH 43026-9495</t>
  </si>
  <si>
    <t>120-000780</t>
  </si>
  <si>
    <t>8669 PATTERSON RD</t>
  </si>
  <si>
    <t>HACKNEY ADAM</t>
  </si>
  <si>
    <t>BOWEN RACHEL</t>
  </si>
  <si>
    <t>120-000781</t>
  </si>
  <si>
    <t>8675 PATTERSON RD</t>
  </si>
  <si>
    <t>PARKS RACHEL F</t>
  </si>
  <si>
    <t>TUCKER MATTHEW JL</t>
  </si>
  <si>
    <t>120-000804</t>
  </si>
  <si>
    <t>8835 PATTERSON RD</t>
  </si>
  <si>
    <t>NIPLE JAMES P</t>
  </si>
  <si>
    <t>NIPLE MEGAN L</t>
  </si>
  <si>
    <t>HILLIARD, OH 43026-8431</t>
  </si>
  <si>
    <t>120-001028</t>
  </si>
  <si>
    <t>8566 MORRIS RD</t>
  </si>
  <si>
    <t>HINTON EDGAR C JR</t>
  </si>
  <si>
    <t>HINTON DARLENE L</t>
  </si>
  <si>
    <t>HILLIARD, OH 43026-8484</t>
  </si>
  <si>
    <t>EDGAR C HINTON JR</t>
  </si>
  <si>
    <t>8566 MORRIS RD HILLIARD OH 43026-8484</t>
  </si>
  <si>
    <t>A = Agriculture</t>
  </si>
  <si>
    <t>R = Residential (up to 0.5 acres)</t>
  </si>
  <si>
    <t>R1 = Residential residual (Residential land over 0.5 acres)</t>
  </si>
  <si>
    <t>I/C/ROW = Industrial/Commercial / Right of Way</t>
  </si>
  <si>
    <t>W = Wooded</t>
  </si>
  <si>
    <t>Total Base</t>
  </si>
  <si>
    <t>Watershed 2 Parcel Area (acre)</t>
  </si>
  <si>
    <t>Direct Assessment</t>
  </si>
  <si>
    <t>ROW-T</t>
  </si>
  <si>
    <t>MORRIS RD ROW</t>
  </si>
  <si>
    <t>BROWN TOWNSHIP</t>
  </si>
  <si>
    <t>MORRIS RD &amp; JERMAN LANE ROW (AREA 3)</t>
  </si>
  <si>
    <t>120-000020</t>
  </si>
  <si>
    <t>7822 MORRIS RD</t>
  </si>
  <si>
    <t>MOJICA WILLIAM E</t>
  </si>
  <si>
    <t>MOJICA HILARY</t>
  </si>
  <si>
    <t>HILLIARD, OH 43026-9745</t>
  </si>
  <si>
    <t>120-000032</t>
  </si>
  <si>
    <t>8444 MORRIS RD</t>
  </si>
  <si>
    <t>BRADY LARRY K TTEE</t>
  </si>
  <si>
    <t>BRADY MARY H TTEE</t>
  </si>
  <si>
    <t>LARRY K BRADY TTEE</t>
  </si>
  <si>
    <t>MARY H BRADY TTEE</t>
  </si>
  <si>
    <t>8444 MORRIS RD HILLIARD OH 43026-8483</t>
  </si>
  <si>
    <t>HILLIARD OH 43026-8483</t>
  </si>
  <si>
    <t>120-000041</t>
  </si>
  <si>
    <t>7818 MORRIS RD</t>
  </si>
  <si>
    <t>WILLIAM E MOJICA</t>
  </si>
  <si>
    <t>HILARY MOJICA</t>
  </si>
  <si>
    <t>7822 MORRIS RD HILLIARD OH 43026-9745</t>
  </si>
  <si>
    <t>HILLIARD OH 43026-9745</t>
  </si>
  <si>
    <t>120-000062</t>
  </si>
  <si>
    <t>8142 MORRIS RD</t>
  </si>
  <si>
    <t>JERMAN FARM LLC</t>
  </si>
  <si>
    <t>8780 MORRIS RD</t>
  </si>
  <si>
    <t>8780 MORRIS RD HILLIARD OH 43026-8486</t>
  </si>
  <si>
    <t>HILLIARD OH 43026-8486</t>
  </si>
  <si>
    <t>120-000066</t>
  </si>
  <si>
    <t>8411 MORRIS RD</t>
  </si>
  <si>
    <t>QUALLS SABRA L</t>
  </si>
  <si>
    <t>QUALLS CHRISTOPHER A</t>
  </si>
  <si>
    <t>CHRISTOPHER A QUALLS</t>
  </si>
  <si>
    <t>SABRA L QUALLS</t>
  </si>
  <si>
    <t>8411 MORRIS RD HILLIARD OH 43026-9485</t>
  </si>
  <si>
    <t>HILLIARD OH 43026-9485</t>
  </si>
  <si>
    <t>120-000068</t>
  </si>
  <si>
    <t>7975 PATTERSON RD</t>
  </si>
  <si>
    <t>HAYNES JEFFREY A</t>
  </si>
  <si>
    <t>5635 JENNYBROOK LN</t>
  </si>
  <si>
    <t>HILLIARD, OH 43026-8138</t>
  </si>
  <si>
    <t>JEFFREY HAYNES</t>
  </si>
  <si>
    <t>7885 PATTERSON RD HILLIARD OH 43026-8422</t>
  </si>
  <si>
    <t>HILLIARD OH 43026-8422</t>
  </si>
  <si>
    <t>120-000073</t>
  </si>
  <si>
    <t>7662 ROBERTS RD</t>
  </si>
  <si>
    <t>TRAPP FARM LLC</t>
  </si>
  <si>
    <t>7662 ROBERTS RD HILLIARD OH 43026-9773</t>
  </si>
  <si>
    <t>HILLIARD OH 43026-9773</t>
  </si>
  <si>
    <t>120-000080</t>
  </si>
  <si>
    <t>7800 ROBERTS RD</t>
  </si>
  <si>
    <t>MARIENTHAL LLC</t>
  </si>
  <si>
    <t>7342 ROBERTS RD</t>
  </si>
  <si>
    <t>7342 ROBERTS RD HILLIARD OH 43026-9706</t>
  </si>
  <si>
    <t>HILLIARD OH 43026-9706</t>
  </si>
  <si>
    <t>120-000081</t>
  </si>
  <si>
    <t>ROBERTS RD REAR</t>
  </si>
  <si>
    <t>120-000509</t>
  </si>
  <si>
    <t>8178 MORRIS RD</t>
  </si>
  <si>
    <t>SHADE TIMOTHY E</t>
  </si>
  <si>
    <t>SHADE MARY A</t>
  </si>
  <si>
    <t>HILLIARD, OH 43026-9747</t>
  </si>
  <si>
    <t>TIMOTHY SHADE</t>
  </si>
  <si>
    <t>MARY SHADE</t>
  </si>
  <si>
    <t>8178 MORRIS RD HILLIARD OH 43026-9747</t>
  </si>
  <si>
    <t>HILLIARD OH 43026-9747</t>
  </si>
  <si>
    <t>120-000531</t>
  </si>
  <si>
    <t>7790 MORRIS RD</t>
  </si>
  <si>
    <t>MOUSSA TAREK M</t>
  </si>
  <si>
    <t>SIBAII BAYAN</t>
  </si>
  <si>
    <t>TAREK MOUSSA</t>
  </si>
  <si>
    <t>BAYAN SIBAII</t>
  </si>
  <si>
    <t>7790 MORRIS RD HILLIARD OH 43026-8126</t>
  </si>
  <si>
    <t>HILLIARD OH 43026-8126</t>
  </si>
  <si>
    <t>120-000547</t>
  </si>
  <si>
    <t>8480 MORRIS RD</t>
  </si>
  <si>
    <t>BATTLES LAWRENCE E</t>
  </si>
  <si>
    <t>BATTLES CAROLYN E</t>
  </si>
  <si>
    <t>LAWRENCE E BATTLES</t>
  </si>
  <si>
    <t>CAROLYN E</t>
  </si>
  <si>
    <t>8480 MORRIS RD HILLIARD OH 43026-8483</t>
  </si>
  <si>
    <t>120-000548</t>
  </si>
  <si>
    <t>8360 MORRIS RD</t>
  </si>
  <si>
    <t>SHULL KELLI</t>
  </si>
  <si>
    <t>120-000550</t>
  </si>
  <si>
    <t>8460 MORRIS RD</t>
  </si>
  <si>
    <t>DAILY GEORGE D</t>
  </si>
  <si>
    <t>DAILY BRENDA L</t>
  </si>
  <si>
    <t>120-000552</t>
  </si>
  <si>
    <t>8166 MORRIS RD</t>
  </si>
  <si>
    <t>MCFARLAND JENNIFER M</t>
  </si>
  <si>
    <t>BEVINGTON JASON D</t>
  </si>
  <si>
    <t>JENNIFER M MCFARLAND</t>
  </si>
  <si>
    <t>8166 MORRIS RD HILLIARD OH 43026-9747</t>
  </si>
  <si>
    <t>120-000554</t>
  </si>
  <si>
    <t>8400 MORRIS RD</t>
  </si>
  <si>
    <t>FELDHEIM JASON E</t>
  </si>
  <si>
    <t>FELDHEIM MINDY</t>
  </si>
  <si>
    <t>120-000556</t>
  </si>
  <si>
    <t>8196 MORRIS RD</t>
  </si>
  <si>
    <t>DORSEY ROBERT J</t>
  </si>
  <si>
    <t>DORSEY JOYCE C</t>
  </si>
  <si>
    <t>ROBERT &amp; JOYCE DORSEY</t>
  </si>
  <si>
    <t>8196 MORRIS RD HILLIARD OH 43026-9747</t>
  </si>
  <si>
    <t>120-000560</t>
  </si>
  <si>
    <t>8234 MORRIS RD</t>
  </si>
  <si>
    <t>STEPHENS DENNY R</t>
  </si>
  <si>
    <t>DENNY R STEPHENS</t>
  </si>
  <si>
    <t>8234 MORRIS RD HILLIARD OH 43026-9747</t>
  </si>
  <si>
    <t>120-000576</t>
  </si>
  <si>
    <t>8436 MORRIS RD</t>
  </si>
  <si>
    <t>INGRAM SCOTT E</t>
  </si>
  <si>
    <t>INGRAM CANDY P</t>
  </si>
  <si>
    <t>UNION SAVINGS BANK</t>
  </si>
  <si>
    <t>ATTN: ESCROW DEPT</t>
  </si>
  <si>
    <t>8805 GOVERNORS HILL DR CINCINNATI OH 45249-3314</t>
  </si>
  <si>
    <t>CINCINNATI OH 45249-3314</t>
  </si>
  <si>
    <t>120-000666</t>
  </si>
  <si>
    <t>8215 MORRIS RD</t>
  </si>
  <si>
    <t>GRAVELLE JAMES C</t>
  </si>
  <si>
    <t>GRAVELLE CAROL A</t>
  </si>
  <si>
    <t>JAMES C GRAVELLE</t>
  </si>
  <si>
    <t>CAROL A GRAVELLE</t>
  </si>
  <si>
    <t>8215 MORRIS RD HILLIARD OH 43026-9484</t>
  </si>
  <si>
    <t>HILLIARD OH 43026-9484</t>
  </si>
  <si>
    <t>120-000800</t>
  </si>
  <si>
    <t>MORRIS RD</t>
  </si>
  <si>
    <t>120-000895</t>
  </si>
  <si>
    <t>7805 MORRIS RD</t>
  </si>
  <si>
    <t>ANDREWS CHAD M</t>
  </si>
  <si>
    <t>120-000945</t>
  </si>
  <si>
    <t>7815 MORRIS RD</t>
  </si>
  <si>
    <t>NEMETH GEORGE L</t>
  </si>
  <si>
    <t>NEMETH NANCY E</t>
  </si>
  <si>
    <t>GEORGE L NEMETH</t>
  </si>
  <si>
    <t>NANCY NEMETH</t>
  </si>
  <si>
    <t>7815 MORRIS RD HILLIARD OH 43026-9483</t>
  </si>
  <si>
    <t>HILLIARD OH 43026-9483</t>
  </si>
  <si>
    <t>120-000949</t>
  </si>
  <si>
    <t>7800 MORRIS RD</t>
  </si>
  <si>
    <t>BARE SAMRA</t>
  </si>
  <si>
    <t>BARE LANEY JAMES</t>
  </si>
  <si>
    <t>120-000950</t>
  </si>
  <si>
    <t>THARP FAMILY LLC</t>
  </si>
  <si>
    <t>9566 GULF SHORE DR APT 301</t>
  </si>
  <si>
    <t>NAPLES, FL 34108-2096</t>
  </si>
  <si>
    <t>KATHLEEN T GROVE</t>
  </si>
  <si>
    <t>9566 GULF SHORE DR APT 301 NAPLES FL 34108-2096</t>
  </si>
  <si>
    <t>NAPLES FL 34108-2096</t>
  </si>
  <si>
    <t>120-000951</t>
  </si>
  <si>
    <t>7806 MORRIS RD</t>
  </si>
  <si>
    <t>STAYROOK BRYCE M</t>
  </si>
  <si>
    <t>STAYROOK MICHELLE S</t>
  </si>
  <si>
    <t>BRYCE M STAYROOK</t>
  </si>
  <si>
    <t>MICHELLE S STAYROOK</t>
  </si>
  <si>
    <t>7806 MORRIS RD HILLIARD OH 43026-9745</t>
  </si>
  <si>
    <t>120-000952</t>
  </si>
  <si>
    <t>7951 MORRIS RD</t>
  </si>
  <si>
    <t>BOWSHER ROBERT A</t>
  </si>
  <si>
    <t>BOWSHER KATHY N</t>
  </si>
  <si>
    <t>ROBERT A BOWSHER</t>
  </si>
  <si>
    <t>KATHY BOWSHER</t>
  </si>
  <si>
    <t>7951 MORRIS RD HILLIARD OH 43026-9484</t>
  </si>
  <si>
    <t>120-000968</t>
  </si>
  <si>
    <t>SCHRECK GREGORY L TR</t>
  </si>
  <si>
    <t>GREGORY L SCHRECK TR</t>
  </si>
  <si>
    <t>7662 ROBERTS RD HILLIARD OH 43026-9752</t>
  </si>
  <si>
    <t>HILLIARD OH 43026-9752</t>
  </si>
  <si>
    <t>120-000980</t>
  </si>
  <si>
    <t>120-000981</t>
  </si>
  <si>
    <t>7881 MORRIS RD</t>
  </si>
  <si>
    <t>ERWIN SHAROLYNN L TR</t>
  </si>
  <si>
    <t>HILLIARD, OH 43026-9483</t>
  </si>
  <si>
    <t>SHAROLYNN L ERWIN TR</t>
  </si>
  <si>
    <t>7881 MORRIS RD HILLIARD OH 43026-9483</t>
  </si>
  <si>
    <t>120-000982</t>
  </si>
  <si>
    <t>WEBER STEPHEN J TTEE</t>
  </si>
  <si>
    <t>PARTHEMORE TRINA M TTEE</t>
  </si>
  <si>
    <t>2151 WALKER ROAD</t>
  </si>
  <si>
    <t>STEPHEN J WEBER TTEE</t>
  </si>
  <si>
    <t>TRINA M PARTHEMORE TTEE</t>
  </si>
  <si>
    <t>2151 WALKER RD HILLIARD OH 43026-9777</t>
  </si>
  <si>
    <t>HILLIARD OH 43026-9777</t>
  </si>
  <si>
    <t>120-000984</t>
  </si>
  <si>
    <t>7812 MORRIS RD</t>
  </si>
  <si>
    <t>MACDONALD HALLIE</t>
  </si>
  <si>
    <t>READING TIMOTHY</t>
  </si>
  <si>
    <t>TIMOTHY READING</t>
  </si>
  <si>
    <t>7812 MORRIS RD HILLIARD OH 43026-9745</t>
  </si>
  <si>
    <t>120-000993</t>
  </si>
  <si>
    <t>7825 MORRIS RD</t>
  </si>
  <si>
    <t>WOODS DAVID ALLEN</t>
  </si>
  <si>
    <t>SOK SORINA S</t>
  </si>
  <si>
    <t>120-000995</t>
  </si>
  <si>
    <t>7936 MORRIS RD</t>
  </si>
  <si>
    <t>PRIMAVERA MICHELLE L</t>
  </si>
  <si>
    <t>PRIMAVERA PRIMO A</t>
  </si>
  <si>
    <t>120-000996</t>
  </si>
  <si>
    <t>8038 MORRIS RD</t>
  </si>
  <si>
    <t>FRANTZEN HAROLD W</t>
  </si>
  <si>
    <t>120-000997</t>
  </si>
  <si>
    <t>7976 MORRIS RD</t>
  </si>
  <si>
    <t>ABURAIDA RAED</t>
  </si>
  <si>
    <t>120-000998</t>
  </si>
  <si>
    <t>8028 MORRIS RD</t>
  </si>
  <si>
    <t>BOWERS ELIJAH</t>
  </si>
  <si>
    <t>BOWERS ANDREA</t>
  </si>
  <si>
    <t>120-001000</t>
  </si>
  <si>
    <t>8071 MORRIS RD</t>
  </si>
  <si>
    <t>RANDOLPH LANCE</t>
  </si>
  <si>
    <t>RANDOLPH TRACI</t>
  </si>
  <si>
    <t>HILLIARD, OH 43026-9484</t>
  </si>
  <si>
    <t>LANCE RANDOLPH</t>
  </si>
  <si>
    <t>TRACI RANDOLPH</t>
  </si>
  <si>
    <t>8071 MORRIS RD HILLIARD OH 43026-9484</t>
  </si>
  <si>
    <t>120-001001</t>
  </si>
  <si>
    <t>8000 MORRIS RD</t>
  </si>
  <si>
    <t>VULIC SEKULA</t>
  </si>
  <si>
    <t>VULIC MARY B</t>
  </si>
  <si>
    <t>SEKULA &amp; MARY B VULIC</t>
  </si>
  <si>
    <t>8000 MORRIS RD HILLIARD OH 43026-9747</t>
  </si>
  <si>
    <t>120-001024</t>
  </si>
  <si>
    <t>7882 MORRIS RD</t>
  </si>
  <si>
    <t>RYBINSKI THOMAS J</t>
  </si>
  <si>
    <t>RYBINSKI JOY M</t>
  </si>
  <si>
    <t>THOMAS RYBINSKI</t>
  </si>
  <si>
    <t>7882 MORRIS RD HILLIARD OH 43026-9745</t>
  </si>
  <si>
    <t>120-001032</t>
  </si>
  <si>
    <t>7864 MORRIS RD</t>
  </si>
  <si>
    <t>MANDO FRANK J</t>
  </si>
  <si>
    <t>FELIX ASHLEY S</t>
  </si>
  <si>
    <t>120-001040</t>
  </si>
  <si>
    <t>SANDOLL ANDROMEDA</t>
  </si>
  <si>
    <t>120-001041</t>
  </si>
  <si>
    <t>7900 MORRIS</t>
  </si>
  <si>
    <t>OLSON ANDREW S</t>
  </si>
  <si>
    <t>OLSON SUSAN M</t>
  </si>
  <si>
    <t>7900 MORRIS RD</t>
  </si>
  <si>
    <t>ANDREW S OLSON</t>
  </si>
  <si>
    <t>7900 MORRIS RD HILLIARD OH 43026-9713</t>
  </si>
  <si>
    <t>HILLIARD OH 43026-9713</t>
  </si>
  <si>
    <t>120-001051</t>
  </si>
  <si>
    <t>8113 MORRIS RD</t>
  </si>
  <si>
    <t>120-001052</t>
  </si>
  <si>
    <t>2444 JERMAN LN</t>
  </si>
  <si>
    <t>HOPSON AMY L</t>
  </si>
  <si>
    <t>HOPSON JEFFREY D</t>
  </si>
  <si>
    <t>2444 JERMAN RD</t>
  </si>
  <si>
    <t>HILLIARD, OH 43026-8282</t>
  </si>
  <si>
    <t>120-001053</t>
  </si>
  <si>
    <t>2396 JERMAN LN</t>
  </si>
  <si>
    <t>COOK MATTHEW D</t>
  </si>
  <si>
    <t>COOK CYNTHIA J</t>
  </si>
  <si>
    <t>MATTHEW D COOK</t>
  </si>
  <si>
    <t>CYNTHIA J COOK</t>
  </si>
  <si>
    <t>2396 JERMAN LN HILLIARD OH 43026-8069</t>
  </si>
  <si>
    <t>HILLIARD OH 43026-8069</t>
  </si>
  <si>
    <t>120-001054</t>
  </si>
  <si>
    <t>2393 JERMAN LN</t>
  </si>
  <si>
    <t>WALLER KATHLEEN A</t>
  </si>
  <si>
    <t>CW</t>
  </si>
  <si>
    <t>9634 ZANE TL RD</t>
  </si>
  <si>
    <t>CIRCLEVILLE, OH 43113</t>
  </si>
  <si>
    <t>CHRIS WALLER</t>
  </si>
  <si>
    <t>2393 JERMAN LN HILLIARD OH 43026-8069</t>
  </si>
  <si>
    <t>120-001055</t>
  </si>
  <si>
    <t>2441 JERMAN LN</t>
  </si>
  <si>
    <t>SIEGFRIED MIRIAM C</t>
  </si>
  <si>
    <t>2441 JERMAN LANE</t>
  </si>
  <si>
    <t>MIRIAM C SIEGFRIED</t>
  </si>
  <si>
    <t>KENNETH F SIEGFRIED</t>
  </si>
  <si>
    <t>2441 JERMAN LN HILLIARD OH 43026-7527</t>
  </si>
  <si>
    <t>HILLIARD OH 43026-7527</t>
  </si>
  <si>
    <t>120-001065</t>
  </si>
  <si>
    <t>2151 WALKER RD</t>
  </si>
  <si>
    <t>120-001122</t>
  </si>
  <si>
    <t>8449 MORRIS RD</t>
  </si>
  <si>
    <t>LESB TTEE</t>
  </si>
  <si>
    <t>JRB TTEE</t>
  </si>
  <si>
    <t>120-001170</t>
  </si>
  <si>
    <t>ROBERTS RD</t>
  </si>
  <si>
    <t>120-001237</t>
  </si>
  <si>
    <t>7871 MORRIS RD</t>
  </si>
  <si>
    <t>KENT JASON J D</t>
  </si>
  <si>
    <t>KENT REBECCA K</t>
  </si>
  <si>
    <t>120-001245</t>
  </si>
  <si>
    <t>8154 MORRIS RD</t>
  </si>
  <si>
    <t>WOLANIN GEORGE R</t>
  </si>
  <si>
    <t>WOOD MELISSA L</t>
  </si>
  <si>
    <t>120-001248</t>
  </si>
  <si>
    <t>8223 MORRIS RD</t>
  </si>
  <si>
    <t>DENNISON ERIKA R</t>
  </si>
  <si>
    <t>8002 MORRIS RD</t>
  </si>
  <si>
    <t>ERIKA R DENNISON</t>
  </si>
  <si>
    <t>8223 MORRIS RD HILLIARD OH 43026-9484</t>
  </si>
  <si>
    <t>120-001249</t>
  </si>
  <si>
    <t>8159 MORRIS RD</t>
  </si>
  <si>
    <t>MAY JERAMY D</t>
  </si>
  <si>
    <t>HILLIARD, OH 43206</t>
  </si>
  <si>
    <t>Total base</t>
  </si>
  <si>
    <t>Watershed 3 Parcel Area (acre)</t>
  </si>
  <si>
    <t>MORRIS RD &amp; JERMAN LANE ROW</t>
  </si>
  <si>
    <t>Parcel</t>
  </si>
  <si>
    <t>Area 2 - No DA</t>
  </si>
  <si>
    <t>Area 2 - With DA</t>
  </si>
  <si>
    <t>Difference</t>
  </si>
  <si>
    <t>% Difference</t>
  </si>
  <si>
    <t>Area 3 - No DA</t>
  </si>
  <si>
    <t>Area 3 - With DA</t>
  </si>
  <si>
    <t>Average Difference</t>
  </si>
  <si>
    <t>Watershed 4 Parcel Area (acre)</t>
  </si>
  <si>
    <t>ROW-C</t>
  </si>
  <si>
    <t>PATTERSON RD ROW</t>
  </si>
  <si>
    <t>FRANKLIN COUNTY</t>
  </si>
  <si>
    <t>120-000009</t>
  </si>
  <si>
    <t>PATTERSON WALKER APTULU LLC</t>
  </si>
  <si>
    <t>73 HIGHLAND POINT CIRCLE</t>
  </si>
  <si>
    <t>COLUMBUS, OH 43235</t>
  </si>
  <si>
    <t>73 HIGHLAND POINTE CIR COLUMBUS OH 43235-7472</t>
  </si>
  <si>
    <t>COLUMBUS OH 43235-7472</t>
  </si>
  <si>
    <t>120-000069</t>
  </si>
  <si>
    <t>8115 PATTERSON RD</t>
  </si>
  <si>
    <t>DEREE CHARLES R</t>
  </si>
  <si>
    <t>MEYER STACY L</t>
  </si>
  <si>
    <t>120-000132</t>
  </si>
  <si>
    <t>8351 PATTERSON RD</t>
  </si>
  <si>
    <t>SASSON ANTHONY M</t>
  </si>
  <si>
    <t>SASSON COLLEEN C</t>
  </si>
  <si>
    <t>HILLIARD, OH 43026-8427</t>
  </si>
  <si>
    <t>ANTHONY M SASSON</t>
  </si>
  <si>
    <t>COLLEEN SASSON</t>
  </si>
  <si>
    <t>8351 PATTERSON RD HILLIARD OH 43026-8427</t>
  </si>
  <si>
    <t>HILLIARD OH 43026-8427</t>
  </si>
  <si>
    <t>120-000440</t>
  </si>
  <si>
    <t>8361 PATTERSON RD</t>
  </si>
  <si>
    <t>MCADAMS LINDA</t>
  </si>
  <si>
    <t>MCADAMS DAVE</t>
  </si>
  <si>
    <t>LINDA MCADAMS</t>
  </si>
  <si>
    <t>DAVE MCADAMS</t>
  </si>
  <si>
    <t>8361 PATTERSON RD HILLIARD OH 43026-8427</t>
  </si>
  <si>
    <t>120-000888</t>
  </si>
  <si>
    <t>8210 PATTERSON RD</t>
  </si>
  <si>
    <t>HACKNEY CHARLES K</t>
  </si>
  <si>
    <t>HACKNEY CINDI B</t>
  </si>
  <si>
    <t>120-000904</t>
  </si>
  <si>
    <t>8280 PATTERSON RD</t>
  </si>
  <si>
    <t>NORDEN CYNTHIA M</t>
  </si>
  <si>
    <t>MOORE TIMOTHY A</t>
  </si>
  <si>
    <t>CYNTHIA M NORDEN</t>
  </si>
  <si>
    <t>TIMOTHY A MOORE</t>
  </si>
  <si>
    <t>8280 PATTERSON RD HILLIARD OH 43026-9740</t>
  </si>
  <si>
    <t>HILLIARD OH 43026-9740</t>
  </si>
  <si>
    <t>120-000956</t>
  </si>
  <si>
    <t>8300 PATTERSON RD</t>
  </si>
  <si>
    <t>RUCKER STEPHANIE</t>
  </si>
  <si>
    <t>2946 BUDD ST</t>
  </si>
  <si>
    <t>COLUMBUS, OH 43228</t>
  </si>
  <si>
    <t>120-000959</t>
  </si>
  <si>
    <t>8322 PATTERSON RD</t>
  </si>
  <si>
    <t>LORSON MARK V TR</t>
  </si>
  <si>
    <t>LORSON CHERYL R TR</t>
  </si>
  <si>
    <t>MARK V LORSON</t>
  </si>
  <si>
    <t>CHERYL H LORSON</t>
  </si>
  <si>
    <t>8322 PATTERSON RD HILLIARD OH 43026-9741</t>
  </si>
  <si>
    <t>HILLIARD OH 43026-9741</t>
  </si>
  <si>
    <t>120-001045</t>
  </si>
  <si>
    <t>7849 PATTERSON RD</t>
  </si>
  <si>
    <t>HUBBARD LARRY</t>
  </si>
  <si>
    <t>HUBBARD KATHLEEN</t>
  </si>
  <si>
    <t>LARRY HUBBARD</t>
  </si>
  <si>
    <t>KATHLEEN HUBBARD</t>
  </si>
  <si>
    <t>7849 PATTERSON RD HILLIARD OH 43026-8422</t>
  </si>
  <si>
    <t>120-001048</t>
  </si>
  <si>
    <t>7875 PATTERSON RD</t>
  </si>
  <si>
    <t>GRAY MATTHEW D</t>
  </si>
  <si>
    <t>GRAY TERI L</t>
  </si>
  <si>
    <t>120-001085</t>
  </si>
  <si>
    <t>8147 PATTERSON RD</t>
  </si>
  <si>
    <t>YODER STEPHEN E JR</t>
  </si>
  <si>
    <t>YODER NICOLE M</t>
  </si>
  <si>
    <t>STEPHEN E YODER JR</t>
  </si>
  <si>
    <t>NICOLE M YODER</t>
  </si>
  <si>
    <t>8147 PATTERSON RD HILLIARD OH 43026-8425</t>
  </si>
  <si>
    <t>HILLIARD OH 43026-8425</t>
  </si>
  <si>
    <t>120-001086</t>
  </si>
  <si>
    <t>8001 PATTERSON RD</t>
  </si>
  <si>
    <t>ATKINS MELISSA</t>
  </si>
  <si>
    <t>4896 BARBEAU LN</t>
  </si>
  <si>
    <t>MELISSA  ATKINS</t>
  </si>
  <si>
    <t>8001 PATTERSON RD HILLIARD OH 43026-8424</t>
  </si>
  <si>
    <t>HILLIARD OH 43026-8424</t>
  </si>
  <si>
    <t>120-001087</t>
  </si>
  <si>
    <t>8025 PATTERSON RD</t>
  </si>
  <si>
    <t>GILL KIMBERLY M</t>
  </si>
  <si>
    <t>GILL RUSSELL W</t>
  </si>
  <si>
    <t>120-001088</t>
  </si>
  <si>
    <t>8043 PATTERSON RD</t>
  </si>
  <si>
    <t>CORDLE JULIA MICHELLE</t>
  </si>
  <si>
    <t>120-001089</t>
  </si>
  <si>
    <t>8067 PATTERSON RD</t>
  </si>
  <si>
    <t>PURDOM SANDY</t>
  </si>
  <si>
    <t>PURDOM BRENT</t>
  </si>
  <si>
    <t>120-001090</t>
  </si>
  <si>
    <t>8085 PATTERSON RD</t>
  </si>
  <si>
    <t>TULLER GREGORY E</t>
  </si>
  <si>
    <t>120-001091</t>
  </si>
  <si>
    <t>YODER STEPHEN E</t>
  </si>
  <si>
    <t>STEPHEN E YODER</t>
  </si>
  <si>
    <t>120-001305</t>
  </si>
  <si>
    <t>8124 PATTERSON RD</t>
  </si>
  <si>
    <t>RAUSCH JERROLD W</t>
  </si>
  <si>
    <t>JERROLD W RAUSCH</t>
  </si>
  <si>
    <t>8124 PATTERSON RD HILLIARD OH 43026-9740</t>
  </si>
  <si>
    <t>120-001330</t>
  </si>
  <si>
    <t>7885 PATTERSON RD</t>
  </si>
  <si>
    <t>MCMULLEN NICHOLE</t>
  </si>
  <si>
    <t>Annual Assessment over 15 years</t>
  </si>
  <si>
    <t>Parcel ID</t>
  </si>
  <si>
    <t>With 4B</t>
  </si>
  <si>
    <t>Without 4B</t>
  </si>
  <si>
    <t>Without 4B, with $2000 direct assessments</t>
  </si>
  <si>
    <t>Difference with original</t>
  </si>
  <si>
    <t>% Difference with original</t>
  </si>
  <si>
    <t>Difference with no 4B</t>
  </si>
  <si>
    <t>% Difference with no 4B</t>
  </si>
  <si>
    <t>Area 1 Assessment</t>
  </si>
  <si>
    <t>Area 2 Assessment *</t>
  </si>
  <si>
    <t>Area 3 Assessment *</t>
  </si>
  <si>
    <t>Area 4 Assessment</t>
  </si>
  <si>
    <t>Total Assessment</t>
  </si>
  <si>
    <t>Annual Assessment (Over 15 years)</t>
  </si>
  <si>
    <t>Res?</t>
  </si>
  <si>
    <t>LENSMAN TODD</t>
  </si>
  <si>
    <t>LENSMAN DEBRA L</t>
  </si>
  <si>
    <t>NOLAN ZACHARY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</si>
</sst>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"/>
  </numFmts>
  <fonts count="9">
    <font>
      <sz val="11"/>
      <color theme="1"/>
      <name val="Aptos Narrow"/>
      <family val="2"/>
      <scheme val="minor"/>
    </font>
    <font>
      <b/>
      <sz val="10"/>
      <name val="Arial"/>
      <charset val="1"/>
    </font>
    <font>
      <sz val="10"/>
      <name val="Arial"/>
      <charset val="1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Poppins Medium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Alignment="1">
      <alignment wrapText="1"/>
    </xf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/>
    <xf numFmtId="44" fontId="0" fillId="0" borderId="1" xfId="1" applyFont="1" applyBorder="1"/>
    <xf numFmtId="0" fontId="5" fillId="0" borderId="1" xfId="0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wrapText="1"/>
    </xf>
    <xf numFmtId="0" fontId="5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0" fillId="0" borderId="4" xfId="0" applyBorder="1"/>
    <xf numFmtId="0" fontId="4" fillId="0" borderId="5" xfId="0" applyFont="1" applyBorder="1"/>
    <xf numFmtId="44" fontId="4" fillId="0" borderId="6" xfId="1" applyFont="1" applyBorder="1"/>
    <xf numFmtId="0" fontId="0" fillId="0" borderId="8" xfId="0" applyBorder="1"/>
    <xf numFmtId="44" fontId="0" fillId="0" borderId="9" xfId="1" applyFont="1" applyBorder="1"/>
    <xf numFmtId="44" fontId="0" fillId="0" borderId="2" xfId="1" applyFont="1" applyBorder="1"/>
    <xf numFmtId="44" fontId="0" fillId="0" borderId="11" xfId="1" applyFont="1" applyBorder="1"/>
    <xf numFmtId="0" fontId="0" fillId="0" borderId="0" xfId="0" applyAlignment="1">
      <alignment vertical="center"/>
    </xf>
    <xf numFmtId="44" fontId="0" fillId="0" borderId="0" xfId="0" applyNumberFormat="1"/>
    <xf numFmtId="44" fontId="4" fillId="0" borderId="13" xfId="0" applyNumberFormat="1" applyFont="1" applyBorder="1"/>
    <xf numFmtId="0" fontId="1" fillId="2" borderId="1" xfId="0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10" fontId="0" fillId="0" borderId="1" xfId="2" applyNumberFormat="1" applyFont="1" applyBorder="1"/>
    <xf numFmtId="44" fontId="0" fillId="0" borderId="1" xfId="0" applyNumberFormat="1" applyBorder="1"/>
    <xf numFmtId="0" fontId="4" fillId="0" borderId="1" xfId="0" applyFont="1" applyBorder="1" applyAlignment="1">
      <alignment horizontal="right"/>
    </xf>
    <xf numFmtId="44" fontId="4" fillId="0" borderId="1" xfId="0" applyNumberFormat="1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1" fontId="0" fillId="0" borderId="1" xfId="0" applyNumberFormat="1" applyBorder="1"/>
    <xf numFmtId="44" fontId="0" fillId="0" borderId="1" xfId="1" applyFont="1" applyBorder="1" applyAlignment="1"/>
    <xf numFmtId="49" fontId="0" fillId="0" borderId="1" xfId="0" applyNumberFormat="1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44" fontId="4" fillId="0" borderId="0" xfId="0" applyNumberFormat="1" applyFont="1"/>
    <xf numFmtId="0" fontId="4" fillId="0" borderId="0" xfId="0" applyFont="1"/>
    <xf numFmtId="164" fontId="0" fillId="0" borderId="0" xfId="0" applyNumberFormat="1"/>
    <xf numFmtId="44" fontId="0" fillId="0" borderId="1" xfId="2" applyNumberFormat="1" applyFont="1" applyBorder="1"/>
    <xf numFmtId="9" fontId="0" fillId="0" borderId="1" xfId="2" applyFont="1" applyBorder="1"/>
    <xf numFmtId="10" fontId="0" fillId="0" borderId="0" xfId="0" applyNumberFormat="1"/>
    <xf numFmtId="0" fontId="0" fillId="0" borderId="1" xfId="0" applyBorder="1" applyAlignment="1">
      <alignment horizontal="right"/>
    </xf>
    <xf numFmtId="44" fontId="0" fillId="0" borderId="1" xfId="1" applyFont="1" applyBorder="1" applyAlignment="1">
      <alignment horizontal="right"/>
    </xf>
    <xf numFmtId="0" fontId="0" fillId="0" borderId="1" xfId="2" applyNumberFormat="1" applyFont="1" applyBorder="1"/>
    <xf numFmtId="0" fontId="8" fillId="0" borderId="0" xfId="0" applyFont="1"/>
    <xf numFmtId="0" fontId="6" fillId="2" borderId="1" xfId="0" applyFont="1" applyFill="1" applyBorder="1" applyAlignment="1">
      <alignment horizontal="center" wrapText="1"/>
    </xf>
    <xf numFmtId="9" fontId="0" fillId="0" borderId="1" xfId="2" applyFont="1" applyFill="1" applyBorder="1"/>
    <xf numFmtId="10" fontId="0" fillId="0" borderId="1" xfId="2" applyNumberFormat="1" applyFont="1" applyFill="1" applyBorder="1"/>
    <xf numFmtId="44" fontId="0" fillId="0" borderId="1" xfId="1" applyFont="1" applyFill="1" applyBorder="1"/>
    <xf numFmtId="0" fontId="5" fillId="4" borderId="1" xfId="0" applyFont="1" applyFill="1" applyBorder="1" applyAlignment="1">
      <alignment horizontal="center"/>
    </xf>
    <xf numFmtId="44" fontId="0" fillId="4" borderId="0" xfId="1" applyFont="1" applyFill="1"/>
    <xf numFmtId="10" fontId="0" fillId="0" borderId="0" xfId="2" applyNumberFormat="1" applyFont="1"/>
    <xf numFmtId="44" fontId="0" fillId="4" borderId="0" xfId="0" applyNumberFormat="1" applyFill="1"/>
    <xf numFmtId="10" fontId="0" fillId="4" borderId="0" xfId="2" applyNumberFormat="1" applyFont="1" applyFill="1"/>
    <xf numFmtId="11" fontId="0" fillId="0" borderId="1" xfId="0" applyNumberFormat="1" applyBorder="1" applyAlignment="1">
      <alignment horizontal="left"/>
    </xf>
    <xf numFmtId="44" fontId="0" fillId="0" borderId="1" xfId="1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21" xfId="0" applyBorder="1"/>
    <xf numFmtId="44" fontId="0" fillId="0" borderId="21" xfId="0" applyNumberFormat="1" applyBorder="1"/>
    <xf numFmtId="44" fontId="0" fillId="0" borderId="21" xfId="1" applyFont="1" applyBorder="1"/>
    <xf numFmtId="0" fontId="2" fillId="4" borderId="1" xfId="0" applyFont="1" applyFill="1" applyBorder="1"/>
    <xf numFmtId="0" fontId="5" fillId="4" borderId="1" xfId="0" applyFont="1" applyFill="1" applyBorder="1"/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1" fontId="0" fillId="0" borderId="18" xfId="0" applyNumberFormat="1" applyBorder="1" applyAlignment="1">
      <alignment horizontal="center"/>
    </xf>
    <xf numFmtId="11" fontId="0" fillId="0" borderId="20" xfId="0" applyNumberFormat="1" applyBorder="1" applyAlignment="1">
      <alignment horizontal="center"/>
    </xf>
    <xf numFmtId="11" fontId="0" fillId="0" borderId="19" xfId="0" applyNumberForma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6</xdr:row>
      <xdr:rowOff>19050</xdr:rowOff>
    </xdr:from>
    <xdr:to>
      <xdr:col>18</xdr:col>
      <xdr:colOff>510540</xdr:colOff>
      <xdr:row>21</xdr:row>
      <xdr:rowOff>64770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B85A96-A41A-4752-98BD-3FE57CE35AF4}"/>
            </a:ext>
          </a:extLst>
        </xdr:cNvPr>
        <xdr:cNvSpPr txBox="1"/>
      </xdr:nvSpPr>
      <xdr:spPr>
        <a:xfrm>
          <a:off x="6038850" y="1123950"/>
          <a:ext cx="8597265" cy="281749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/>
            <a:t>if you need to change quantities and/or estimate,</a:t>
          </a:r>
          <a:r>
            <a:rPr lang="en-US" sz="3200" baseline="0"/>
            <a:t> change it in the "Estimate" tab below. It will automatically update the estimate and other values on this page as well as in the assessment calculations</a:t>
          </a:r>
          <a:endParaRPr lang="en-US" sz="3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1234440</xdr:colOff>
      <xdr:row>8</xdr:row>
      <xdr:rowOff>93345</xdr:rowOff>
    </xdr:from>
    <xdr:to>
      <xdr:col>10</xdr:col>
      <xdr:colOff>110490</xdr:colOff>
      <xdr:row>24</xdr:row>
      <xdr:rowOff>1905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F4BC63-D7C0-48BC-BE85-918E0F6327F0}"/>
            </a:ext>
          </a:extLst>
        </xdr:cNvPr>
        <xdr:cNvSpPr txBox="1"/>
      </xdr:nvSpPr>
      <xdr:spPr>
        <a:xfrm>
          <a:off x="2091690" y="1541145"/>
          <a:ext cx="8601075" cy="280416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/>
            <a:t>This</a:t>
          </a:r>
          <a:r>
            <a:rPr lang="en-US" sz="3200" baseline="0"/>
            <a:t> has not been updated. Check quantities before using this estimate.</a:t>
          </a:r>
          <a:endParaRPr lang="en-US" sz="3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20</xdr:col>
      <xdr:colOff>276225</xdr:colOff>
      <xdr:row>24</xdr:row>
      <xdr:rowOff>89535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8EFB0E-E69C-437C-A269-AFC45266854B}"/>
            </a:ext>
          </a:extLst>
        </xdr:cNvPr>
        <xdr:cNvSpPr txBox="1"/>
      </xdr:nvSpPr>
      <xdr:spPr>
        <a:xfrm>
          <a:off x="3724275" y="2000250"/>
          <a:ext cx="8601075" cy="280416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/>
            <a:t>Do</a:t>
          </a:r>
          <a:r>
            <a:rPr lang="en-US" sz="3200" baseline="0"/>
            <a:t> not</a:t>
          </a:r>
          <a:r>
            <a:rPr lang="en-US" sz="3200"/>
            <a:t> use this page. Township</a:t>
          </a:r>
          <a:r>
            <a:rPr lang="en-US" sz="3200" baseline="0"/>
            <a:t> agreed to be direct assessed for the work in the ROW</a:t>
          </a:r>
          <a:endParaRPr lang="en-US" sz="3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335280</xdr:colOff>
      <xdr:row>7</xdr:row>
      <xdr:rowOff>81915</xdr:rowOff>
    </xdr:from>
    <xdr:to>
      <xdr:col>18</xdr:col>
      <xdr:colOff>571500</xdr:colOff>
      <xdr:row>22</xdr:row>
      <xdr:rowOff>169545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7177C7-4914-46D3-850C-98C12E38FD7C}"/>
            </a:ext>
          </a:extLst>
        </xdr:cNvPr>
        <xdr:cNvSpPr txBox="1"/>
      </xdr:nvSpPr>
      <xdr:spPr>
        <a:xfrm>
          <a:off x="2802255" y="1720215"/>
          <a:ext cx="8599170" cy="280225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/>
            <a:t>Do</a:t>
          </a:r>
          <a:r>
            <a:rPr lang="en-US" sz="3200" baseline="0"/>
            <a:t> no</a:t>
          </a:r>
          <a:r>
            <a:rPr lang="en-US" sz="3200"/>
            <a:t>t use this page. Township</a:t>
          </a:r>
          <a:r>
            <a:rPr lang="en-US" sz="3200" baseline="0"/>
            <a:t> agreed to be direct assessed for the work in the ROW</a:t>
          </a:r>
          <a:endParaRPr lang="en-US" sz="3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4</xdr:row>
      <xdr:rowOff>142875</xdr:rowOff>
    </xdr:from>
    <xdr:to>
      <xdr:col>8</xdr:col>
      <xdr:colOff>331470</xdr:colOff>
      <xdr:row>20</xdr:row>
      <xdr:rowOff>55245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E86D0E-8E6D-43A1-992C-B7CB05B0E991}"/>
            </a:ext>
          </a:extLst>
        </xdr:cNvPr>
        <xdr:cNvSpPr txBox="1"/>
      </xdr:nvSpPr>
      <xdr:spPr>
        <a:xfrm>
          <a:off x="2066925" y="1095375"/>
          <a:ext cx="8599170" cy="280797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/>
            <a:t>Do</a:t>
          </a:r>
          <a:r>
            <a:rPr lang="en-US" sz="3200" baseline="0"/>
            <a:t> not</a:t>
          </a:r>
          <a:r>
            <a:rPr lang="en-US" sz="3200"/>
            <a:t> use this page. Township</a:t>
          </a:r>
          <a:r>
            <a:rPr lang="en-US" sz="3200" baseline="0"/>
            <a:t> agreed to be direct assessed for the work in the ROW</a:t>
          </a:r>
          <a:endParaRPr lang="en-US" sz="3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bigail Obert, P.E." id="{40D777E1-662F-490E-AB95-CAA8E913AB5D}" userId="S::aobert@franklincountyengineer.org::aec137c4-b428-48fe-b752-a81266d05a8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0" dT="2026-07-08T19:00:19.31" personId="{40D777E1-662F-490E-AB95-CAA8E913AB5D}" id="{5516BF4C-921F-4635-BDC4-7C894B5D8BE1}">
    <text>-4000, most of excavation in 4B swale</text>
  </threadedComment>
  <threadedComment ref="K23" dT="2026-07-08T18:55:21.73" personId="{40D777E1-662F-490E-AB95-CAA8E913AB5D}" id="{34697D4B-EF0A-4613-BA4A-E52D2F4B9896}">
    <text>-3625sy</text>
  </threadedComment>
  <threadedComment ref="K31" dT="2026-07-08T18:54:00.71" personId="{40D777E1-662F-490E-AB95-CAA8E913AB5D}" id="{87DD0D3F-3E56-4846-8EB2-D1807192E64A}">
    <text>-1451ft</text>
  </threadedComment>
  <threadedComment ref="K35" dT="2026-07-08T18:54:12.53" personId="{40D777E1-662F-490E-AB95-CAA8E913AB5D}" id="{C5E18C12-3B9A-490B-817C-C0E9C0CD3D01}">
    <text>-1809’</text>
  </threadedComment>
  <threadedComment ref="K45" dT="2026-07-08T18:54:20.60" personId="{40D777E1-662F-490E-AB95-CAA8E913AB5D}" id="{B857678D-7FC8-4166-85D6-C4E98AB00C7B}">
    <text>-8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S2" dT="2026-03-23T13:46:30.71" personId="{40D777E1-662F-490E-AB95-CAA8E913AB5D}" id="{20C3E258-7A93-4F1E-9B71-2DB08E73CECC}">
    <text>-0.1 for every 0.25 miles from improvement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2" dT="2026-03-23T15:03:49.68" personId="{40D777E1-662F-490E-AB95-CAA8E913AB5D}" id="{31950C04-F3DD-465B-80E5-4DE2C536F278}">
    <text>This also includes Area 3 parcels because area 3 drains to Area 2</text>
  </threadedComment>
  <threadedComment ref="S2" dT="2026-03-23T13:46:30.71" personId="{40D777E1-662F-490E-AB95-CAA8E913AB5D}" id="{AA8885D3-1737-4704-B1FE-1F1303B17F54}">
    <text>-0.1 for every 0.25 miles from improvement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" dT="2026-03-23T15:03:49.68" personId="{40D777E1-662F-490E-AB95-CAA8E913AB5D}" id="{2BE2F6F8-75B3-4248-AD12-0AA8410FE0D4}">
    <text>This also includes Area 3 parcels because area 3 drains to Area 2</text>
  </threadedComment>
  <threadedComment ref="S2" dT="2026-03-23T13:46:30.71" personId="{40D777E1-662F-490E-AB95-CAA8E913AB5D}" id="{00A1EC7D-81D1-44E4-B534-095DA98477AF}">
    <text>-0.1 for every 0.25 miles from improvement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S2" dT="2026-03-23T13:46:30.71" personId="{40D777E1-662F-490E-AB95-CAA8E913AB5D}" id="{9E811FE0-AE43-494C-9B79-D9E8F21ECD78}">
    <text>-0.1 for every 0.25 miles from improvement</text>
  </threadedComment>
  <threadedComment ref="K14" dT="2026-05-06T14:10:07.65" personId="{40D777E1-662F-490E-AB95-CAA8E913AB5D}" id="{AAFFB4E7-0FB2-4C4E-986A-C373192A519E}">
    <text>Check areas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S2" dT="2026-03-23T13:46:30.71" personId="{40D777E1-662F-490E-AB95-CAA8E913AB5D}" id="{5EE27534-AD3E-47FA-BF2C-F8785A075FB0}">
    <text>-0.1 for every 0.25 miles from improvement</text>
  </threadedComment>
  <threadedComment ref="K14" dT="2026-05-06T14:10:07.65" personId="{40D777E1-662F-490E-AB95-CAA8E913AB5D}" id="{5782FC6A-2C8C-487B-85DF-55F4DE7517D3}">
    <text>Check areas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S2" dT="2026-03-23T13:46:30.71" personId="{40D777E1-662F-490E-AB95-CAA8E913AB5D}" id="{2D4BDD05-75B8-4DA1-AA80-1F7B6E86C466}">
    <text>-0.1 for every 0.25 miles from improvement</text>
  </threadedComment>
  <threadedComment ref="V42" dT="2026-04-14T17:28:27.34" personId="{40D777E1-662F-490E-AB95-CAA8E913AB5D}" id="{7DE2D644-E425-40D5-805A-B3C631C8B38E}">
    <text>Sum of Direct Assessment</text>
  </threadedComment>
  <threadedComment ref="W42" dT="2026-04-14T17:28:56.31" personId="{40D777E1-662F-490E-AB95-CAA8E913AB5D}" id="{2A63191E-4B9F-440C-8989-09839119AB41}">
    <text>Total assessed cost- direct assessment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S2" dT="2026-03-23T13:46:30.71" personId="{40D777E1-662F-490E-AB95-CAA8E913AB5D}" id="{57FFE00C-396F-4EDB-B69F-6280131A4D28}">
    <text>-0.1 for every 0.25 miles from improvement</text>
  </threadedComment>
  <threadedComment ref="V42" dT="2026-04-14T17:28:27.34" personId="{40D777E1-662F-490E-AB95-CAA8E913AB5D}" id="{BFD7D4A4-216F-4857-BBD3-899A270339E0}">
    <text>Sum of Direct Assessment</text>
  </threadedComment>
  <threadedComment ref="W42" dT="2026-04-14T17:28:56.31" personId="{40D777E1-662F-490E-AB95-CAA8E913AB5D}" id="{BBE7FBD6-45F3-41AB-9B39-7C2FE67DF64B}">
    <text>Total assessed cost- direct assessment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6BC3-6D21-4268-A783-F95184CB763B}">
  <sheetPr>
    <pageSetUpPr fitToPage="1"/>
  </sheetPr>
  <dimension ref="A2:H30"/>
  <sheetViews>
    <sheetView workbookViewId="0">
      <selection activeCell="O23" sqref="O23"/>
    </sheetView>
  </sheetViews>
  <sheetFormatPr defaultRowHeight="14.45"/>
  <cols>
    <col min="2" max="2" width="13.7109375" customWidth="1"/>
    <col min="3" max="3" width="33.42578125" bestFit="1" customWidth="1"/>
    <col min="4" max="4" width="13.85546875" bestFit="1" customWidth="1"/>
    <col min="8" max="8" width="13.85546875" bestFit="1" customWidth="1"/>
    <col min="9" max="9" width="12.28515625" bestFit="1" customWidth="1"/>
    <col min="12" max="12" width="12.28515625" bestFit="1" customWidth="1"/>
  </cols>
  <sheetData>
    <row r="2" spans="1:8" ht="15" thickBot="1"/>
    <row r="3" spans="1:8">
      <c r="B3" s="70" t="s">
        <v>0</v>
      </c>
      <c r="C3" s="18" t="s">
        <v>1</v>
      </c>
      <c r="D3" s="19">
        <f>D25*D27</f>
        <v>9023.5788786965531</v>
      </c>
    </row>
    <row r="4" spans="1:8">
      <c r="B4" s="71"/>
      <c r="C4" s="1" t="s">
        <v>2</v>
      </c>
      <c r="D4" s="20">
        <f>D5*0.05</f>
        <v>7796.35</v>
      </c>
    </row>
    <row r="5" spans="1:8">
      <c r="B5" s="71"/>
      <c r="C5" s="1" t="s">
        <v>3</v>
      </c>
      <c r="D5" s="20">
        <f>Estimate!F64</f>
        <v>155927</v>
      </c>
    </row>
    <row r="6" spans="1:8" ht="15" thickBot="1">
      <c r="B6" s="71"/>
      <c r="C6" s="15" t="s">
        <v>4</v>
      </c>
      <c r="D6" s="21">
        <f>D5*0.025</f>
        <v>3898.1750000000002</v>
      </c>
    </row>
    <row r="7" spans="1:8" ht="15" thickBot="1">
      <c r="B7" s="72"/>
      <c r="C7" s="16" t="s">
        <v>5</v>
      </c>
      <c r="D7" s="17">
        <f>SUM(D3:D6)</f>
        <v>176645.10387869654</v>
      </c>
    </row>
    <row r="8" spans="1:8">
      <c r="A8" s="22"/>
      <c r="B8" s="70" t="s">
        <v>6</v>
      </c>
      <c r="C8" s="18" t="s">
        <v>1</v>
      </c>
      <c r="D8" s="19">
        <f>D25*D28</f>
        <v>19236.570858997384</v>
      </c>
    </row>
    <row r="9" spans="1:8">
      <c r="A9" s="22"/>
      <c r="B9" s="71"/>
      <c r="C9" s="1" t="s">
        <v>2</v>
      </c>
      <c r="D9" s="20">
        <f>D10*0.05</f>
        <v>16620.350000000002</v>
      </c>
    </row>
    <row r="10" spans="1:8">
      <c r="A10" s="22"/>
      <c r="B10" s="71"/>
      <c r="C10" s="1" t="s">
        <v>3</v>
      </c>
      <c r="D10" s="20">
        <f>Estimate!H64</f>
        <v>332407</v>
      </c>
    </row>
    <row r="11" spans="1:8" ht="15" thickBot="1">
      <c r="A11" s="22"/>
      <c r="B11" s="71"/>
      <c r="C11" s="15" t="s">
        <v>4</v>
      </c>
      <c r="D11" s="21">
        <f>D10*0.025</f>
        <v>8310.1750000000011</v>
      </c>
    </row>
    <row r="12" spans="1:8" ht="15" thickBot="1">
      <c r="A12" s="22"/>
      <c r="B12" s="72"/>
      <c r="C12" s="16" t="s">
        <v>7</v>
      </c>
      <c r="D12" s="17">
        <f>SUM(D8:D11)</f>
        <v>376574.09585899737</v>
      </c>
    </row>
    <row r="13" spans="1:8">
      <c r="B13" s="70" t="s">
        <v>8</v>
      </c>
      <c r="C13" s="18" t="s">
        <v>1</v>
      </c>
      <c r="D13" s="19">
        <f>D25*D29</f>
        <v>67678.72238260493</v>
      </c>
      <c r="H13" s="23"/>
    </row>
    <row r="14" spans="1:8">
      <c r="B14" s="71"/>
      <c r="C14" s="1" t="s">
        <v>2</v>
      </c>
      <c r="D14" s="20">
        <f>D15*0.02</f>
        <v>23389.7</v>
      </c>
    </row>
    <row r="15" spans="1:8">
      <c r="B15" s="71"/>
      <c r="C15" s="1" t="s">
        <v>3</v>
      </c>
      <c r="D15" s="20">
        <f>Estimate!J64</f>
        <v>1169485</v>
      </c>
    </row>
    <row r="16" spans="1:8" ht="15" thickBot="1">
      <c r="B16" s="71"/>
      <c r="C16" s="15" t="s">
        <v>4</v>
      </c>
      <c r="D16" s="21">
        <f>D15*0.025</f>
        <v>29237.125</v>
      </c>
    </row>
    <row r="17" spans="2:8" ht="15" thickBot="1">
      <c r="B17" s="72"/>
      <c r="C17" s="16" t="s">
        <v>9</v>
      </c>
      <c r="D17" s="17">
        <f>SUM(D13:D16)</f>
        <v>1289790.547382605</v>
      </c>
    </row>
    <row r="18" spans="2:8">
      <c r="B18" s="70" t="s">
        <v>10</v>
      </c>
      <c r="C18" s="18" t="s">
        <v>1</v>
      </c>
      <c r="D18" s="19">
        <f>D30*D25</f>
        <v>109372.12787970113</v>
      </c>
    </row>
    <row r="19" spans="2:8">
      <c r="B19" s="71"/>
      <c r="C19" s="1" t="s">
        <v>2</v>
      </c>
      <c r="D19" s="20">
        <f>D20*0.02</f>
        <v>37798.9</v>
      </c>
    </row>
    <row r="20" spans="2:8">
      <c r="B20" s="71"/>
      <c r="C20" s="1" t="s">
        <v>3</v>
      </c>
      <c r="D20" s="20">
        <f>Estimate!L64</f>
        <v>1889945</v>
      </c>
    </row>
    <row r="21" spans="2:8" ht="15" thickBot="1">
      <c r="B21" s="71"/>
      <c r="C21" s="15" t="s">
        <v>4</v>
      </c>
      <c r="D21" s="21">
        <f>D20*0.025</f>
        <v>47248.625</v>
      </c>
    </row>
    <row r="22" spans="2:8" ht="15" thickBot="1">
      <c r="B22" s="72"/>
      <c r="C22" s="16" t="s">
        <v>11</v>
      </c>
      <c r="D22" s="17">
        <f>SUM(D18:D21)</f>
        <v>2084364.6528797012</v>
      </c>
    </row>
    <row r="23" spans="2:8" ht="15" thickBot="1">
      <c r="C23" s="16" t="s">
        <v>12</v>
      </c>
      <c r="D23" s="24">
        <f>D7+D12+D17+D22</f>
        <v>3927374.4000000004</v>
      </c>
    </row>
    <row r="25" spans="2:8">
      <c r="C25" s="41" t="s">
        <v>13</v>
      </c>
      <c r="D25" s="4">
        <v>205311</v>
      </c>
    </row>
    <row r="26" spans="2:8">
      <c r="C26" s="41"/>
      <c r="D26" s="23"/>
    </row>
    <row r="27" spans="2:8">
      <c r="C27" s="41" t="s">
        <v>0</v>
      </c>
      <c r="D27">
        <f>D5/(D5+D10+D15+D20)</f>
        <v>4.3950781393576346E-2</v>
      </c>
      <c r="H27" s="23"/>
    </row>
    <row r="28" spans="2:8">
      <c r="C28" s="41" t="s">
        <v>6</v>
      </c>
      <c r="D28">
        <f>D10/(D5+D10+D15+D20)</f>
        <v>9.3694789168614373E-2</v>
      </c>
    </row>
    <row r="29" spans="2:8">
      <c r="C29" s="41" t="s">
        <v>14</v>
      </c>
      <c r="D29">
        <f>D15/(D5+D10+D15+D20)</f>
        <v>0.32964002115135055</v>
      </c>
    </row>
    <row r="30" spans="2:8">
      <c r="C30" s="41" t="s">
        <v>10</v>
      </c>
      <c r="D30">
        <f>D20/(D5+D10+D15+D20)</f>
        <v>0.53271440828645877</v>
      </c>
    </row>
  </sheetData>
  <mergeCells count="4">
    <mergeCell ref="B3:B7"/>
    <mergeCell ref="B8:B12"/>
    <mergeCell ref="B13:B17"/>
    <mergeCell ref="B18:B22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2E27-EBBB-4CAE-93A5-7C61F05A53A0}">
  <sheetPr>
    <pageSetUpPr fitToPage="1"/>
  </sheetPr>
  <dimension ref="A1:X48"/>
  <sheetViews>
    <sheetView workbookViewId="0">
      <pane xSplit="1" topLeftCell="B1" activePane="topRight" state="frozen"/>
      <selection pane="topRight" activeCell="V3" sqref="C3:V3"/>
    </sheetView>
  </sheetViews>
  <sheetFormatPr defaultRowHeight="14.45"/>
  <cols>
    <col min="1" max="1" width="10.7109375" bestFit="1" customWidth="1"/>
    <col min="2" max="2" width="25.28515625" customWidth="1"/>
    <col min="3" max="3" width="24.140625" bestFit="1" customWidth="1"/>
    <col min="4" max="4" width="23.5703125" bestFit="1" customWidth="1"/>
    <col min="5" max="5" width="28.28515625" hidden="1" customWidth="1"/>
    <col min="6" max="6" width="23.28515625" hidden="1" customWidth="1"/>
    <col min="7" max="10" width="0" hidden="1" customWidth="1"/>
    <col min="11" max="11" width="11.85546875" bestFit="1" customWidth="1"/>
    <col min="19" max="19" width="11.28515625" bestFit="1" customWidth="1"/>
    <col min="21" max="21" width="9.5703125" customWidth="1"/>
    <col min="22" max="22" width="12.28515625" bestFit="1" customWidth="1"/>
    <col min="23" max="23" width="13.85546875" bestFit="1" customWidth="1"/>
    <col min="24" max="24" width="13.85546875" customWidth="1"/>
  </cols>
  <sheetData>
    <row r="1" spans="1:24">
      <c r="A1" s="44" t="s">
        <v>14</v>
      </c>
    </row>
    <row r="2" spans="1:24" ht="43.5">
      <c r="A2" s="5" t="s">
        <v>186</v>
      </c>
      <c r="B2" s="5" t="s">
        <v>187</v>
      </c>
      <c r="C2" s="5" t="s">
        <v>188</v>
      </c>
      <c r="D2" s="5" t="s">
        <v>189</v>
      </c>
      <c r="E2" s="5" t="s">
        <v>190</v>
      </c>
      <c r="F2" s="5" t="s">
        <v>191</v>
      </c>
      <c r="G2" s="5" t="s">
        <v>192</v>
      </c>
      <c r="H2" s="5" t="s">
        <v>193</v>
      </c>
      <c r="I2" s="5" t="s">
        <v>194</v>
      </c>
      <c r="J2" s="5" t="s">
        <v>195</v>
      </c>
      <c r="K2" s="29" t="s">
        <v>619</v>
      </c>
      <c r="L2" s="28" t="s">
        <v>197</v>
      </c>
      <c r="M2" s="28" t="s">
        <v>198</v>
      </c>
      <c r="N2" s="28" t="s">
        <v>199</v>
      </c>
      <c r="O2" s="28" t="s">
        <v>200</v>
      </c>
      <c r="P2" s="28" t="s">
        <v>201</v>
      </c>
      <c r="Q2" s="29" t="s">
        <v>202</v>
      </c>
      <c r="R2" s="28" t="s">
        <v>203</v>
      </c>
      <c r="S2" s="28" t="s">
        <v>204</v>
      </c>
      <c r="T2" s="28" t="s">
        <v>205</v>
      </c>
      <c r="U2" s="28" t="s">
        <v>206</v>
      </c>
      <c r="V2" s="29" t="s">
        <v>317</v>
      </c>
      <c r="W2" s="29" t="s">
        <v>207</v>
      </c>
      <c r="X2" s="29" t="s">
        <v>208</v>
      </c>
    </row>
    <row r="3" spans="1:24">
      <c r="A3" s="9" t="s">
        <v>318</v>
      </c>
      <c r="B3" s="12" t="s">
        <v>620</v>
      </c>
      <c r="C3" s="12" t="s">
        <v>320</v>
      </c>
      <c r="D3" s="9"/>
      <c r="E3" s="9"/>
      <c r="F3" s="9"/>
      <c r="G3" s="9"/>
      <c r="H3" s="9"/>
      <c r="I3" s="9"/>
      <c r="J3" s="9"/>
      <c r="K3" s="26">
        <f>242345.872365/43560</f>
        <v>5.5634956924931123</v>
      </c>
      <c r="L3" s="1">
        <v>0</v>
      </c>
      <c r="M3" s="1">
        <v>0</v>
      </c>
      <c r="N3" s="1">
        <v>0</v>
      </c>
      <c r="O3" s="10">
        <f>K3</f>
        <v>5.5634956924931123</v>
      </c>
      <c r="P3" s="1">
        <v>0</v>
      </c>
      <c r="Q3" s="1">
        <f>(L3*5+M3*80+N3*5+O3*100+P3*2)</f>
        <v>556.34956924931123</v>
      </c>
      <c r="R3" s="47">
        <v>0.5</v>
      </c>
      <c r="S3" s="1">
        <v>1</v>
      </c>
      <c r="T3" s="1">
        <f>Q3*R3*S3</f>
        <v>278.17478462465562</v>
      </c>
      <c r="U3" s="30">
        <f t="shared" ref="U3:U40" si="0">T3/T$48</f>
        <v>0.30708554194382848</v>
      </c>
      <c r="V3" s="46">
        <v>621800</v>
      </c>
      <c r="W3" s="8">
        <f t="shared" ref="W3:W40" si="1">U3*W$41</f>
        <v>205130.23925634191</v>
      </c>
      <c r="X3" s="8">
        <f>IF(W3&lt;10,10,W3)+V3</f>
        <v>826930.23925634194</v>
      </c>
    </row>
    <row r="4" spans="1:24">
      <c r="A4" s="7" t="s">
        <v>322</v>
      </c>
      <c r="B4" s="7" t="s">
        <v>323</v>
      </c>
      <c r="C4" s="7" t="s">
        <v>324</v>
      </c>
      <c r="D4" s="7" t="s">
        <v>325</v>
      </c>
      <c r="E4" s="7" t="s">
        <v>323</v>
      </c>
      <c r="F4" s="7" t="s">
        <v>326</v>
      </c>
      <c r="G4" s="7" t="s">
        <v>214</v>
      </c>
      <c r="H4" s="7"/>
      <c r="I4" s="7" t="s">
        <v>215</v>
      </c>
      <c r="J4" s="7" t="s">
        <v>216</v>
      </c>
      <c r="K4" s="1">
        <v>4.7969999999999997</v>
      </c>
      <c r="L4" s="6">
        <v>2.7</v>
      </c>
      <c r="M4" s="6">
        <v>0.5</v>
      </c>
      <c r="N4" s="6">
        <v>1.597</v>
      </c>
      <c r="O4" s="6">
        <v>0</v>
      </c>
      <c r="P4" s="6">
        <v>0</v>
      </c>
      <c r="Q4" s="1">
        <f t="shared" ref="Q4:Q40" si="2">(L4*5+M4*80+N4*5+O4*100+P4*2)</f>
        <v>61.484999999999999</v>
      </c>
      <c r="R4" s="47">
        <v>0.5</v>
      </c>
      <c r="S4" s="1">
        <v>1</v>
      </c>
      <c r="T4" s="1">
        <f t="shared" ref="T4:T40" si="3">Q4*R4*S4</f>
        <v>30.7425</v>
      </c>
      <c r="U4" s="30">
        <f t="shared" si="0"/>
        <v>3.3937573766602981E-2</v>
      </c>
      <c r="V4" s="8">
        <v>0</v>
      </c>
      <c r="W4" s="8">
        <f t="shared" si="1"/>
        <v>22669.978477190663</v>
      </c>
      <c r="X4" s="8">
        <f>IF(W4&lt;10,10,W4)</f>
        <v>22669.978477190663</v>
      </c>
    </row>
    <row r="5" spans="1:24">
      <c r="A5" s="7" t="s">
        <v>335</v>
      </c>
      <c r="B5" s="7" t="s">
        <v>336</v>
      </c>
      <c r="C5" s="7" t="s">
        <v>324</v>
      </c>
      <c r="D5" s="7" t="s">
        <v>325</v>
      </c>
      <c r="E5" s="7" t="s">
        <v>323</v>
      </c>
      <c r="F5" s="7" t="s">
        <v>213</v>
      </c>
      <c r="G5" s="7" t="s">
        <v>337</v>
      </c>
      <c r="H5" s="7" t="s">
        <v>338</v>
      </c>
      <c r="I5" s="7" t="s">
        <v>339</v>
      </c>
      <c r="J5" s="7" t="s">
        <v>340</v>
      </c>
      <c r="K5" s="1">
        <v>13.683999999999999</v>
      </c>
      <c r="L5" s="1">
        <v>13.683999999999999</v>
      </c>
      <c r="M5" s="1">
        <v>0</v>
      </c>
      <c r="N5" s="1">
        <v>0</v>
      </c>
      <c r="O5" s="1">
        <v>0</v>
      </c>
      <c r="P5" s="1">
        <v>0</v>
      </c>
      <c r="Q5" s="1">
        <f t="shared" si="2"/>
        <v>68.42</v>
      </c>
      <c r="R5" s="47">
        <v>1</v>
      </c>
      <c r="S5" s="1">
        <v>1</v>
      </c>
      <c r="T5" s="1">
        <f t="shared" si="3"/>
        <v>68.42</v>
      </c>
      <c r="U5" s="30">
        <f t="shared" si="0"/>
        <v>7.5530903378416725E-2</v>
      </c>
      <c r="V5" s="8">
        <v>0</v>
      </c>
      <c r="W5" s="8">
        <f t="shared" si="1"/>
        <v>50453.92949205124</v>
      </c>
      <c r="X5" s="8">
        <f t="shared" ref="X5:X40" si="4">IF(W5&lt;10,10,W5)</f>
        <v>50453.92949205124</v>
      </c>
    </row>
    <row r="6" spans="1:24">
      <c r="A6" s="7" t="s">
        <v>341</v>
      </c>
      <c r="B6" s="7" t="s">
        <v>342</v>
      </c>
      <c r="C6" s="7" t="s">
        <v>343</v>
      </c>
      <c r="D6" s="7"/>
      <c r="E6" s="7" t="s">
        <v>344</v>
      </c>
      <c r="F6" s="7" t="s">
        <v>213</v>
      </c>
      <c r="G6" s="7" t="s">
        <v>343</v>
      </c>
      <c r="H6" s="7"/>
      <c r="I6" s="7" t="s">
        <v>345</v>
      </c>
      <c r="J6" s="7" t="s">
        <v>346</v>
      </c>
      <c r="K6" s="1">
        <v>14.525</v>
      </c>
      <c r="L6" s="1">
        <v>13.324999999999999</v>
      </c>
      <c r="M6" s="1">
        <v>0.5</v>
      </c>
      <c r="N6" s="1">
        <v>0</v>
      </c>
      <c r="O6" s="1">
        <v>0</v>
      </c>
      <c r="P6" s="1">
        <v>0.7</v>
      </c>
      <c r="Q6" s="1">
        <f t="shared" si="2"/>
        <v>108.02500000000001</v>
      </c>
      <c r="R6" s="47">
        <v>0.1</v>
      </c>
      <c r="S6" s="1">
        <v>1</v>
      </c>
      <c r="T6" s="1">
        <f t="shared" si="3"/>
        <v>10.802500000000002</v>
      </c>
      <c r="U6" s="30">
        <f t="shared" si="0"/>
        <v>1.1925205842521876E-2</v>
      </c>
      <c r="V6" s="8">
        <v>0</v>
      </c>
      <c r="W6" s="8">
        <f t="shared" si="1"/>
        <v>7965.9247783964274</v>
      </c>
      <c r="X6" s="8">
        <f t="shared" si="4"/>
        <v>7965.9247783964274</v>
      </c>
    </row>
    <row r="7" spans="1:24">
      <c r="A7" s="7" t="s">
        <v>347</v>
      </c>
      <c r="B7" s="7" t="s">
        <v>348</v>
      </c>
      <c r="C7" s="7" t="s">
        <v>349</v>
      </c>
      <c r="D7" s="7" t="s">
        <v>350</v>
      </c>
      <c r="E7" s="7" t="s">
        <v>348</v>
      </c>
      <c r="F7" s="7" t="s">
        <v>213</v>
      </c>
      <c r="G7" s="7" t="s">
        <v>351</v>
      </c>
      <c r="H7" s="7" t="s">
        <v>352</v>
      </c>
      <c r="I7" s="7" t="s">
        <v>353</v>
      </c>
      <c r="J7" s="7" t="s">
        <v>354</v>
      </c>
      <c r="K7" s="1">
        <v>0.01</v>
      </c>
      <c r="L7" s="1">
        <v>0</v>
      </c>
      <c r="M7" s="1">
        <v>0</v>
      </c>
      <c r="N7" s="1">
        <v>0.01</v>
      </c>
      <c r="O7" s="1">
        <v>0</v>
      </c>
      <c r="P7" s="1">
        <v>0</v>
      </c>
      <c r="Q7" s="1">
        <f t="shared" si="2"/>
        <v>0.05</v>
      </c>
      <c r="R7" s="47">
        <v>0</v>
      </c>
      <c r="S7" s="1">
        <v>1</v>
      </c>
      <c r="T7" s="1">
        <f t="shared" si="3"/>
        <v>0</v>
      </c>
      <c r="U7" s="30">
        <f t="shared" si="0"/>
        <v>0</v>
      </c>
      <c r="V7" s="8">
        <v>0</v>
      </c>
      <c r="W7" s="8">
        <f t="shared" si="1"/>
        <v>0</v>
      </c>
      <c r="X7" s="8">
        <v>0</v>
      </c>
    </row>
    <row r="8" spans="1:24">
      <c r="A8" s="7" t="s">
        <v>355</v>
      </c>
      <c r="B8" s="7" t="s">
        <v>356</v>
      </c>
      <c r="C8" s="7" t="s">
        <v>357</v>
      </c>
      <c r="D8" s="7"/>
      <c r="E8" s="7" t="s">
        <v>358</v>
      </c>
      <c r="F8" s="7" t="s">
        <v>359</v>
      </c>
      <c r="G8" s="7" t="s">
        <v>360</v>
      </c>
      <c r="H8" s="7"/>
      <c r="I8" s="7" t="s">
        <v>361</v>
      </c>
      <c r="J8" s="7" t="s">
        <v>362</v>
      </c>
      <c r="K8" s="1">
        <v>0.29299999999999998</v>
      </c>
      <c r="L8" s="1">
        <v>0</v>
      </c>
      <c r="M8" s="1">
        <v>0</v>
      </c>
      <c r="N8" s="1">
        <v>0.29299999999999998</v>
      </c>
      <c r="O8" s="1">
        <v>0</v>
      </c>
      <c r="P8" s="1">
        <v>0</v>
      </c>
      <c r="Q8" s="1">
        <f t="shared" si="2"/>
        <v>1.4649999999999999</v>
      </c>
      <c r="R8" s="47">
        <v>1</v>
      </c>
      <c r="S8" s="1">
        <v>1</v>
      </c>
      <c r="T8" s="1">
        <f t="shared" si="3"/>
        <v>1.4649999999999999</v>
      </c>
      <c r="U8" s="30">
        <f t="shared" si="0"/>
        <v>1.6172577236097704E-3</v>
      </c>
      <c r="V8" s="8">
        <v>0</v>
      </c>
      <c r="W8" s="8">
        <f t="shared" si="1"/>
        <v>1080.3128720528364</v>
      </c>
      <c r="X8" s="8">
        <f t="shared" si="4"/>
        <v>1080.3128720528364</v>
      </c>
    </row>
    <row r="9" spans="1:24">
      <c r="A9" s="7" t="s">
        <v>363</v>
      </c>
      <c r="B9" s="7" t="s">
        <v>364</v>
      </c>
      <c r="C9" s="7" t="s">
        <v>365</v>
      </c>
      <c r="D9" s="7"/>
      <c r="E9" s="7" t="s">
        <v>364</v>
      </c>
      <c r="F9" s="7" t="s">
        <v>213</v>
      </c>
      <c r="G9" s="7" t="s">
        <v>365</v>
      </c>
      <c r="H9" s="7"/>
      <c r="I9" s="7" t="s">
        <v>366</v>
      </c>
      <c r="J9" s="7" t="s">
        <v>367</v>
      </c>
      <c r="K9" s="1">
        <v>0.755</v>
      </c>
      <c r="L9" s="1">
        <v>0.755</v>
      </c>
      <c r="M9" s="1">
        <v>0</v>
      </c>
      <c r="N9" s="1">
        <v>0</v>
      </c>
      <c r="O9" s="1">
        <v>0</v>
      </c>
      <c r="P9" s="1">
        <v>0</v>
      </c>
      <c r="Q9" s="1">
        <f t="shared" si="2"/>
        <v>3.7749999999999999</v>
      </c>
      <c r="R9" s="47">
        <v>0.5</v>
      </c>
      <c r="S9" s="1">
        <v>0.8</v>
      </c>
      <c r="T9" s="1">
        <f t="shared" si="3"/>
        <v>1.51</v>
      </c>
      <c r="U9" s="30">
        <f t="shared" si="0"/>
        <v>1.6669345820141662E-3</v>
      </c>
      <c r="V9" s="8">
        <v>0</v>
      </c>
      <c r="W9" s="8">
        <f t="shared" si="1"/>
        <v>1113.4965438906368</v>
      </c>
      <c r="X9" s="8">
        <f t="shared" si="4"/>
        <v>1113.4965438906368</v>
      </c>
    </row>
    <row r="10" spans="1:24">
      <c r="A10" s="7" t="s">
        <v>374</v>
      </c>
      <c r="B10" s="7" t="s">
        <v>375</v>
      </c>
      <c r="C10" s="7" t="s">
        <v>370</v>
      </c>
      <c r="D10" s="7"/>
      <c r="E10" s="7" t="s">
        <v>371</v>
      </c>
      <c r="F10" s="7" t="s">
        <v>213</v>
      </c>
      <c r="G10" s="7" t="s">
        <v>370</v>
      </c>
      <c r="H10" s="7"/>
      <c r="I10" s="7" t="s">
        <v>372</v>
      </c>
      <c r="J10" s="7" t="s">
        <v>373</v>
      </c>
      <c r="K10" s="1">
        <v>0.89</v>
      </c>
      <c r="L10" s="1">
        <v>0.89</v>
      </c>
      <c r="M10" s="1">
        <v>0</v>
      </c>
      <c r="N10" s="1">
        <v>0</v>
      </c>
      <c r="O10" s="1">
        <v>0</v>
      </c>
      <c r="P10" s="1">
        <v>0</v>
      </c>
      <c r="Q10" s="1">
        <f t="shared" si="2"/>
        <v>4.45</v>
      </c>
      <c r="R10" s="47">
        <v>0.1</v>
      </c>
      <c r="S10" s="1">
        <v>0.9</v>
      </c>
      <c r="T10" s="1">
        <f t="shared" si="3"/>
        <v>0.40050000000000008</v>
      </c>
      <c r="U10" s="30">
        <f t="shared" si="0"/>
        <v>4.4212403979912164E-4</v>
      </c>
      <c r="V10" s="8">
        <v>0</v>
      </c>
      <c r="W10" s="8">
        <f t="shared" si="1"/>
        <v>295.33467935642392</v>
      </c>
      <c r="X10" s="8">
        <f t="shared" si="4"/>
        <v>295.33467935642392</v>
      </c>
    </row>
    <row r="11" spans="1:24">
      <c r="A11" s="7" t="s">
        <v>385</v>
      </c>
      <c r="B11" s="7" t="s">
        <v>386</v>
      </c>
      <c r="C11" s="7" t="s">
        <v>387</v>
      </c>
      <c r="D11" s="7" t="s">
        <v>388</v>
      </c>
      <c r="E11" s="7" t="s">
        <v>386</v>
      </c>
      <c r="F11" s="7" t="s">
        <v>213</v>
      </c>
      <c r="G11" s="7" t="s">
        <v>389</v>
      </c>
      <c r="H11" s="7" t="s">
        <v>390</v>
      </c>
      <c r="I11" s="7" t="s">
        <v>391</v>
      </c>
      <c r="J11" s="7" t="s">
        <v>392</v>
      </c>
      <c r="K11" s="1">
        <v>0.28000000000000003</v>
      </c>
      <c r="L11" s="1">
        <v>0.28000000000000003</v>
      </c>
      <c r="M11" s="1">
        <v>0</v>
      </c>
      <c r="N11" s="1">
        <v>0</v>
      </c>
      <c r="O11" s="1">
        <v>0</v>
      </c>
      <c r="P11" s="1">
        <v>0</v>
      </c>
      <c r="Q11" s="1">
        <f t="shared" si="2"/>
        <v>1.4000000000000001</v>
      </c>
      <c r="R11" s="47">
        <v>0.5</v>
      </c>
      <c r="S11" s="1">
        <v>0.8</v>
      </c>
      <c r="T11" s="1">
        <f t="shared" si="3"/>
        <v>0.56000000000000005</v>
      </c>
      <c r="U11" s="30">
        <f t="shared" si="0"/>
        <v>6.1820090458803518E-4</v>
      </c>
      <c r="V11" s="8">
        <v>0</v>
      </c>
      <c r="W11" s="8">
        <f t="shared" si="1"/>
        <v>412.95236064818323</v>
      </c>
      <c r="X11" s="8">
        <f t="shared" si="4"/>
        <v>412.95236064818323</v>
      </c>
    </row>
    <row r="12" spans="1:24">
      <c r="A12" s="7" t="s">
        <v>446</v>
      </c>
      <c r="B12" s="7" t="s">
        <v>447</v>
      </c>
      <c r="C12" s="7" t="s">
        <v>448</v>
      </c>
      <c r="D12" s="7"/>
      <c r="E12" s="7" t="s">
        <v>447</v>
      </c>
      <c r="F12" s="7" t="s">
        <v>213</v>
      </c>
      <c r="G12" s="7" t="s">
        <v>214</v>
      </c>
      <c r="H12" s="7"/>
      <c r="I12" s="7" t="s">
        <v>215</v>
      </c>
      <c r="J12" s="7" t="s">
        <v>216</v>
      </c>
      <c r="K12" s="1">
        <v>2.5999999999999999E-2</v>
      </c>
      <c r="L12" s="1">
        <v>0</v>
      </c>
      <c r="M12" s="1">
        <v>0</v>
      </c>
      <c r="N12" s="1">
        <v>2.5999999999999999E-2</v>
      </c>
      <c r="O12" s="1">
        <v>0</v>
      </c>
      <c r="P12" s="1">
        <v>0</v>
      </c>
      <c r="Q12" s="1">
        <f t="shared" si="2"/>
        <v>0.13</v>
      </c>
      <c r="R12" s="47">
        <v>0.5</v>
      </c>
      <c r="S12" s="1">
        <v>0.9</v>
      </c>
      <c r="T12" s="1">
        <f t="shared" si="3"/>
        <v>5.8500000000000003E-2</v>
      </c>
      <c r="U12" s="30">
        <f t="shared" si="0"/>
        <v>6.4579915925714389E-5</v>
      </c>
      <c r="V12" s="8">
        <v>0</v>
      </c>
      <c r="W12" s="8">
        <f t="shared" si="1"/>
        <v>43.138773389140567</v>
      </c>
      <c r="X12" s="8">
        <f t="shared" si="4"/>
        <v>43.138773389140567</v>
      </c>
    </row>
    <row r="13" spans="1:24">
      <c r="A13" s="7" t="s">
        <v>449</v>
      </c>
      <c r="B13" s="7" t="s">
        <v>450</v>
      </c>
      <c r="C13" s="7" t="s">
        <v>451</v>
      </c>
      <c r="D13" s="7" t="s">
        <v>452</v>
      </c>
      <c r="E13" s="7"/>
      <c r="F13" s="7"/>
      <c r="G13" s="7" t="s">
        <v>453</v>
      </c>
      <c r="H13" s="7" t="s">
        <v>454</v>
      </c>
      <c r="I13" s="7" t="s">
        <v>455</v>
      </c>
      <c r="J13" s="7" t="s">
        <v>456</v>
      </c>
      <c r="K13" s="1">
        <v>1.6140000000000001</v>
      </c>
      <c r="L13" s="1">
        <v>0</v>
      </c>
      <c r="M13" s="1">
        <v>0.5</v>
      </c>
      <c r="N13" s="1">
        <v>1.1140000000000001</v>
      </c>
      <c r="O13" s="1">
        <v>0</v>
      </c>
      <c r="P13" s="1">
        <v>0</v>
      </c>
      <c r="Q13" s="1">
        <f t="shared" si="2"/>
        <v>45.57</v>
      </c>
      <c r="R13" s="47">
        <v>0.5</v>
      </c>
      <c r="S13" s="1">
        <v>0.9</v>
      </c>
      <c r="T13" s="1">
        <f t="shared" si="3"/>
        <v>20.506499999999999</v>
      </c>
      <c r="U13" s="30">
        <f t="shared" si="0"/>
        <v>2.2637744374883112E-2</v>
      </c>
      <c r="V13" s="8">
        <v>0</v>
      </c>
      <c r="W13" s="8">
        <f t="shared" si="1"/>
        <v>15121.799256485658</v>
      </c>
      <c r="X13" s="8">
        <f t="shared" si="4"/>
        <v>15121.799256485658</v>
      </c>
    </row>
    <row r="14" spans="1:24">
      <c r="A14" s="7" t="s">
        <v>457</v>
      </c>
      <c r="B14" s="7" t="s">
        <v>458</v>
      </c>
      <c r="C14" s="7" t="s">
        <v>459</v>
      </c>
      <c r="D14" s="7" t="s">
        <v>460</v>
      </c>
      <c r="E14" s="7" t="s">
        <v>458</v>
      </c>
      <c r="F14" s="7" t="s">
        <v>213</v>
      </c>
      <c r="G14" s="7" t="s">
        <v>214</v>
      </c>
      <c r="H14" s="7"/>
      <c r="I14" s="7" t="s">
        <v>215</v>
      </c>
      <c r="J14" s="7" t="s">
        <v>216</v>
      </c>
      <c r="K14" s="1">
        <v>0.84</v>
      </c>
      <c r="L14" s="1">
        <v>0</v>
      </c>
      <c r="M14" s="1">
        <v>0</v>
      </c>
      <c r="N14" s="1">
        <v>0.84</v>
      </c>
      <c r="O14" s="1">
        <v>0</v>
      </c>
      <c r="P14" s="1">
        <v>0</v>
      </c>
      <c r="Q14" s="1">
        <f>(L14*5+M14*80+N14*5+O14*100+P14*2)</f>
        <v>4.2</v>
      </c>
      <c r="R14" s="54">
        <v>0.5</v>
      </c>
      <c r="S14" s="1">
        <v>0.9</v>
      </c>
      <c r="T14" s="1">
        <f t="shared" si="3"/>
        <v>1.8900000000000001</v>
      </c>
      <c r="U14" s="55">
        <f t="shared" si="0"/>
        <v>2.0864280529846188E-3</v>
      </c>
      <c r="V14" s="56">
        <v>0</v>
      </c>
      <c r="W14" s="56">
        <f t="shared" si="1"/>
        <v>1393.7142171876185</v>
      </c>
      <c r="X14" s="56">
        <f t="shared" si="4"/>
        <v>1393.7142171876185</v>
      </c>
    </row>
    <row r="15" spans="1:24">
      <c r="A15" s="7" t="s">
        <v>461</v>
      </c>
      <c r="B15" s="7" t="s">
        <v>445</v>
      </c>
      <c r="C15" s="7" t="s">
        <v>462</v>
      </c>
      <c r="D15" s="7"/>
      <c r="E15" s="7" t="s">
        <v>463</v>
      </c>
      <c r="F15" s="7" t="s">
        <v>464</v>
      </c>
      <c r="G15" s="7" t="s">
        <v>465</v>
      </c>
      <c r="H15" s="7"/>
      <c r="I15" s="7" t="s">
        <v>466</v>
      </c>
      <c r="J15" s="7" t="s">
        <v>467</v>
      </c>
      <c r="K15" s="1">
        <v>4.8869999999999996</v>
      </c>
      <c r="L15" s="1">
        <v>4.8869999999999996</v>
      </c>
      <c r="M15" s="1">
        <v>0</v>
      </c>
      <c r="N15" s="1">
        <v>0</v>
      </c>
      <c r="O15" s="1">
        <v>0</v>
      </c>
      <c r="P15" s="1">
        <v>0</v>
      </c>
      <c r="Q15" s="1">
        <f t="shared" si="2"/>
        <v>24.434999999999999</v>
      </c>
      <c r="R15" s="47">
        <v>0.3</v>
      </c>
      <c r="S15" s="1">
        <v>1</v>
      </c>
      <c r="T15" s="1">
        <f t="shared" si="3"/>
        <v>7.3304999999999989</v>
      </c>
      <c r="U15" s="30">
        <f t="shared" si="0"/>
        <v>8.0923602340760552E-3</v>
      </c>
      <c r="V15" s="8">
        <v>0</v>
      </c>
      <c r="W15" s="8">
        <f t="shared" si="1"/>
        <v>5405.6201423776902</v>
      </c>
      <c r="X15" s="8">
        <f t="shared" si="4"/>
        <v>5405.6201423776902</v>
      </c>
    </row>
    <row r="16" spans="1:24">
      <c r="A16" s="7" t="s">
        <v>468</v>
      </c>
      <c r="B16" s="7" t="s">
        <v>469</v>
      </c>
      <c r="C16" s="7" t="s">
        <v>470</v>
      </c>
      <c r="D16" s="7" t="s">
        <v>471</v>
      </c>
      <c r="E16" s="7" t="s">
        <v>469</v>
      </c>
      <c r="F16" s="7" t="s">
        <v>213</v>
      </c>
      <c r="G16" s="7" t="s">
        <v>472</v>
      </c>
      <c r="H16" s="7" t="s">
        <v>473</v>
      </c>
      <c r="I16" s="7" t="s">
        <v>474</v>
      </c>
      <c r="J16" s="7" t="s">
        <v>340</v>
      </c>
      <c r="K16" s="1">
        <v>0.94399999999999995</v>
      </c>
      <c r="L16" s="1">
        <v>0</v>
      </c>
      <c r="M16" s="1">
        <v>0.5</v>
      </c>
      <c r="N16" s="1">
        <v>0.44400000000000001</v>
      </c>
      <c r="O16" s="1">
        <v>0</v>
      </c>
      <c r="P16" s="1">
        <v>0</v>
      </c>
      <c r="Q16" s="1">
        <f t="shared" si="2"/>
        <v>42.22</v>
      </c>
      <c r="R16" s="54">
        <v>0.5</v>
      </c>
      <c r="S16" s="1">
        <v>0.9</v>
      </c>
      <c r="T16" s="1">
        <f t="shared" si="3"/>
        <v>18.998999999999999</v>
      </c>
      <c r="U16" s="55">
        <f t="shared" si="0"/>
        <v>2.0973569618335856E-2</v>
      </c>
      <c r="V16" s="56">
        <v>0</v>
      </c>
      <c r="W16" s="56">
        <f t="shared" si="1"/>
        <v>14010.146249919342</v>
      </c>
      <c r="X16" s="56">
        <f t="shared" si="4"/>
        <v>14010.146249919342</v>
      </c>
    </row>
    <row r="17" spans="1:24">
      <c r="A17" s="7" t="s">
        <v>475</v>
      </c>
      <c r="B17" s="7" t="s">
        <v>476</v>
      </c>
      <c r="C17" s="7" t="s">
        <v>477</v>
      </c>
      <c r="D17" s="7" t="s">
        <v>478</v>
      </c>
      <c r="E17" s="7" t="s">
        <v>476</v>
      </c>
      <c r="F17" s="7" t="s">
        <v>213</v>
      </c>
      <c r="G17" s="7" t="s">
        <v>479</v>
      </c>
      <c r="H17" s="7" t="s">
        <v>480</v>
      </c>
      <c r="I17" s="7" t="s">
        <v>481</v>
      </c>
      <c r="J17" s="7" t="s">
        <v>443</v>
      </c>
      <c r="K17" s="1">
        <v>4.7839999999999998</v>
      </c>
      <c r="L17" s="6">
        <v>1.6</v>
      </c>
      <c r="M17" s="6">
        <v>0.5</v>
      </c>
      <c r="N17" s="6">
        <f>K17-2.1</f>
        <v>2.6839999999999997</v>
      </c>
      <c r="O17" s="1">
        <v>0</v>
      </c>
      <c r="P17" s="1">
        <v>0</v>
      </c>
      <c r="Q17" s="1">
        <f t="shared" si="2"/>
        <v>61.42</v>
      </c>
      <c r="R17" s="47">
        <v>0.4</v>
      </c>
      <c r="S17" s="1">
        <v>1</v>
      </c>
      <c r="T17" s="1">
        <f t="shared" si="3"/>
        <v>24.568000000000001</v>
      </c>
      <c r="U17" s="30">
        <f t="shared" si="0"/>
        <v>2.7121356828426514E-2</v>
      </c>
      <c r="V17" s="8">
        <v>0</v>
      </c>
      <c r="W17" s="8">
        <f t="shared" si="1"/>
        <v>18116.80999357958</v>
      </c>
      <c r="X17" s="8">
        <f t="shared" si="4"/>
        <v>18116.80999357958</v>
      </c>
    </row>
    <row r="18" spans="1:24">
      <c r="A18" s="7" t="s">
        <v>482</v>
      </c>
      <c r="B18" s="7" t="s">
        <v>445</v>
      </c>
      <c r="C18" s="7" t="s">
        <v>483</v>
      </c>
      <c r="D18" s="7"/>
      <c r="E18" s="7" t="s">
        <v>364</v>
      </c>
      <c r="F18" s="7" t="s">
        <v>213</v>
      </c>
      <c r="G18" s="7" t="s">
        <v>484</v>
      </c>
      <c r="H18" s="7"/>
      <c r="I18" s="7" t="s">
        <v>485</v>
      </c>
      <c r="J18" s="7" t="s">
        <v>486</v>
      </c>
      <c r="K18" s="1">
        <v>4.7030000000000003</v>
      </c>
      <c r="L18" s="1">
        <v>4.7030000000000003</v>
      </c>
      <c r="M18" s="1">
        <v>0</v>
      </c>
      <c r="N18" s="1">
        <v>0</v>
      </c>
      <c r="O18" s="1">
        <v>0</v>
      </c>
      <c r="P18" s="1">
        <v>0</v>
      </c>
      <c r="Q18" s="1">
        <f t="shared" si="2"/>
        <v>23.515000000000001</v>
      </c>
      <c r="R18" s="47">
        <v>0.4</v>
      </c>
      <c r="S18" s="1">
        <v>1</v>
      </c>
      <c r="T18" s="1">
        <f t="shared" si="3"/>
        <v>9.4060000000000006</v>
      </c>
      <c r="U18" s="30">
        <f t="shared" si="0"/>
        <v>1.0383567336705462E-2</v>
      </c>
      <c r="V18" s="8">
        <v>0</v>
      </c>
      <c r="W18" s="8">
        <f t="shared" si="1"/>
        <v>6936.12482903002</v>
      </c>
      <c r="X18" s="8">
        <f t="shared" si="4"/>
        <v>6936.12482903002</v>
      </c>
    </row>
    <row r="19" spans="1:24">
      <c r="A19" s="7" t="s">
        <v>487</v>
      </c>
      <c r="B19" s="7" t="s">
        <v>445</v>
      </c>
      <c r="C19" s="7" t="s">
        <v>462</v>
      </c>
      <c r="D19" s="7"/>
      <c r="E19" s="7" t="s">
        <v>463</v>
      </c>
      <c r="F19" s="7" t="s">
        <v>464</v>
      </c>
      <c r="G19" s="7" t="s">
        <v>465</v>
      </c>
      <c r="H19" s="7"/>
      <c r="I19" s="7" t="s">
        <v>466</v>
      </c>
      <c r="J19" s="7" t="s">
        <v>467</v>
      </c>
      <c r="K19" s="1">
        <v>4.8289999999999997</v>
      </c>
      <c r="L19" s="1">
        <v>4.8289999999999997</v>
      </c>
      <c r="M19" s="1">
        <v>0</v>
      </c>
      <c r="N19" s="1">
        <v>0</v>
      </c>
      <c r="O19" s="1">
        <v>0</v>
      </c>
      <c r="P19" s="1">
        <v>0</v>
      </c>
      <c r="Q19" s="1">
        <f t="shared" si="2"/>
        <v>24.145</v>
      </c>
      <c r="R19" s="47">
        <v>0.3</v>
      </c>
      <c r="S19" s="1">
        <v>1</v>
      </c>
      <c r="T19" s="1">
        <f t="shared" si="3"/>
        <v>7.2434999999999992</v>
      </c>
      <c r="U19" s="30">
        <f t="shared" si="0"/>
        <v>7.9963183078275574E-3</v>
      </c>
      <c r="V19" s="8">
        <v>0</v>
      </c>
      <c r="W19" s="8">
        <f t="shared" si="1"/>
        <v>5341.4650434912764</v>
      </c>
      <c r="X19" s="8">
        <f t="shared" si="4"/>
        <v>5341.4650434912764</v>
      </c>
    </row>
    <row r="20" spans="1:24">
      <c r="A20" s="7" t="s">
        <v>488</v>
      </c>
      <c r="B20" s="7" t="s">
        <v>489</v>
      </c>
      <c r="C20" s="7" t="s">
        <v>490</v>
      </c>
      <c r="D20" s="7"/>
      <c r="E20" s="7" t="s">
        <v>489</v>
      </c>
      <c r="F20" s="7" t="s">
        <v>491</v>
      </c>
      <c r="G20" s="7" t="s">
        <v>492</v>
      </c>
      <c r="H20" s="7"/>
      <c r="I20" s="7" t="s">
        <v>493</v>
      </c>
      <c r="J20" s="7" t="s">
        <v>456</v>
      </c>
      <c r="K20" s="1">
        <v>5.306</v>
      </c>
      <c r="L20" s="6">
        <f>K20-1.5</f>
        <v>3.806</v>
      </c>
      <c r="M20" s="6">
        <v>0.5</v>
      </c>
      <c r="N20" s="6">
        <v>1</v>
      </c>
      <c r="O20" s="1">
        <v>0</v>
      </c>
      <c r="P20" s="1">
        <v>0</v>
      </c>
      <c r="Q20" s="1">
        <f t="shared" si="2"/>
        <v>64.03</v>
      </c>
      <c r="R20" s="47">
        <v>0.5</v>
      </c>
      <c r="S20" s="1">
        <v>1</v>
      </c>
      <c r="T20" s="1">
        <f t="shared" si="3"/>
        <v>32.015000000000001</v>
      </c>
      <c r="U20" s="30">
        <f t="shared" si="0"/>
        <v>3.5342324929260614E-2</v>
      </c>
      <c r="V20" s="8">
        <v>0</v>
      </c>
      <c r="W20" s="8">
        <f t="shared" si="1"/>
        <v>23608.338975270686</v>
      </c>
      <c r="X20" s="8">
        <f t="shared" si="4"/>
        <v>23608.338975270686</v>
      </c>
    </row>
    <row r="21" spans="1:24">
      <c r="A21" s="7" t="s">
        <v>502</v>
      </c>
      <c r="B21" s="7" t="s">
        <v>503</v>
      </c>
      <c r="C21" s="7" t="s">
        <v>504</v>
      </c>
      <c r="D21" s="7" t="s">
        <v>505</v>
      </c>
      <c r="E21" s="7" t="s">
        <v>503</v>
      </c>
      <c r="F21" s="7" t="s">
        <v>213</v>
      </c>
      <c r="G21" s="7" t="s">
        <v>506</v>
      </c>
      <c r="H21" s="7"/>
      <c r="I21" s="7" t="s">
        <v>507</v>
      </c>
      <c r="J21" s="7" t="s">
        <v>340</v>
      </c>
      <c r="K21" s="1">
        <v>11.593</v>
      </c>
      <c r="L21" s="6">
        <v>9.5</v>
      </c>
      <c r="M21" s="6">
        <v>0.5</v>
      </c>
      <c r="N21" s="6">
        <v>1.593</v>
      </c>
      <c r="O21" s="1">
        <v>0</v>
      </c>
      <c r="P21" s="1">
        <v>0</v>
      </c>
      <c r="Q21" s="1">
        <f t="shared" si="2"/>
        <v>95.465000000000003</v>
      </c>
      <c r="R21" s="47">
        <v>0.5</v>
      </c>
      <c r="S21" s="1">
        <v>0.9</v>
      </c>
      <c r="T21" s="1">
        <f t="shared" si="3"/>
        <v>42.959250000000004</v>
      </c>
      <c r="U21" s="30">
        <f t="shared" si="0"/>
        <v>4.7424012875756344E-2</v>
      </c>
      <c r="V21" s="8">
        <v>0</v>
      </c>
      <c r="W21" s="8">
        <f t="shared" si="1"/>
        <v>31678.792319956188</v>
      </c>
      <c r="X21" s="8">
        <f t="shared" si="4"/>
        <v>31678.792319956188</v>
      </c>
    </row>
    <row r="22" spans="1:24">
      <c r="A22" s="7" t="s">
        <v>508</v>
      </c>
      <c r="B22" s="7" t="s">
        <v>509</v>
      </c>
      <c r="C22" s="7" t="s">
        <v>510</v>
      </c>
      <c r="D22" s="7" t="s">
        <v>511</v>
      </c>
      <c r="E22" s="7" t="s">
        <v>509</v>
      </c>
      <c r="F22" s="7" t="s">
        <v>213</v>
      </c>
      <c r="G22" s="7" t="s">
        <v>214</v>
      </c>
      <c r="H22" s="7"/>
      <c r="I22" s="7" t="s">
        <v>215</v>
      </c>
      <c r="J22" s="7" t="s">
        <v>216</v>
      </c>
      <c r="K22" s="1">
        <v>2.96</v>
      </c>
      <c r="L22" s="1">
        <v>0</v>
      </c>
      <c r="M22" s="1">
        <v>0.5</v>
      </c>
      <c r="N22" s="1">
        <v>2.46</v>
      </c>
      <c r="O22" s="1">
        <v>0</v>
      </c>
      <c r="P22" s="1">
        <v>0</v>
      </c>
      <c r="Q22" s="1">
        <f t="shared" si="2"/>
        <v>52.3</v>
      </c>
      <c r="R22" s="47">
        <v>0.5</v>
      </c>
      <c r="S22" s="1">
        <v>1</v>
      </c>
      <c r="T22" s="1">
        <f t="shared" si="3"/>
        <v>26.15</v>
      </c>
      <c r="U22" s="30">
        <f t="shared" si="0"/>
        <v>2.8867774383887709E-2</v>
      </c>
      <c r="V22" s="8">
        <v>0</v>
      </c>
      <c r="W22" s="8">
        <f t="shared" si="1"/>
        <v>19283.400412410694</v>
      </c>
      <c r="X22" s="8">
        <f t="shared" si="4"/>
        <v>19283.400412410694</v>
      </c>
    </row>
    <row r="23" spans="1:24">
      <c r="A23" s="7" t="s">
        <v>512</v>
      </c>
      <c r="B23" s="7" t="s">
        <v>513</v>
      </c>
      <c r="C23" s="7" t="s">
        <v>514</v>
      </c>
      <c r="D23" s="7" t="s">
        <v>515</v>
      </c>
      <c r="E23" s="7" t="s">
        <v>513</v>
      </c>
      <c r="F23" s="7" t="s">
        <v>213</v>
      </c>
      <c r="G23" s="7" t="s">
        <v>214</v>
      </c>
      <c r="H23" s="7"/>
      <c r="I23" s="7" t="s">
        <v>215</v>
      </c>
      <c r="J23" s="7" t="s">
        <v>216</v>
      </c>
      <c r="K23" s="1">
        <v>4.306</v>
      </c>
      <c r="L23" s="1">
        <v>0</v>
      </c>
      <c r="M23" s="1">
        <v>0.5</v>
      </c>
      <c r="N23" s="1">
        <f>K23-0.5</f>
        <v>3.806</v>
      </c>
      <c r="O23" s="1">
        <v>0</v>
      </c>
      <c r="P23" s="1">
        <v>0</v>
      </c>
      <c r="Q23" s="1">
        <f t="shared" si="2"/>
        <v>59.03</v>
      </c>
      <c r="R23" s="47">
        <v>0.4</v>
      </c>
      <c r="S23" s="1">
        <v>1</v>
      </c>
      <c r="T23" s="1">
        <f t="shared" si="3"/>
        <v>23.612000000000002</v>
      </c>
      <c r="U23" s="30">
        <f t="shared" si="0"/>
        <v>2.6065999569879799E-2</v>
      </c>
      <c r="V23" s="8">
        <v>0</v>
      </c>
      <c r="W23" s="8">
        <f t="shared" si="1"/>
        <v>17411.841320758755</v>
      </c>
      <c r="X23" s="8">
        <f t="shared" si="4"/>
        <v>17411.841320758755</v>
      </c>
    </row>
    <row r="24" spans="1:24">
      <c r="A24" s="7" t="s">
        <v>516</v>
      </c>
      <c r="B24" s="7" t="s">
        <v>517</v>
      </c>
      <c r="C24" s="7" t="s">
        <v>518</v>
      </c>
      <c r="D24" s="7"/>
      <c r="E24" s="7" t="s">
        <v>517</v>
      </c>
      <c r="F24" s="7" t="s">
        <v>213</v>
      </c>
      <c r="G24" s="7" t="s">
        <v>214</v>
      </c>
      <c r="H24" s="7"/>
      <c r="I24" s="7" t="s">
        <v>215</v>
      </c>
      <c r="J24" s="7" t="s">
        <v>216</v>
      </c>
      <c r="K24" s="1">
        <v>1.3049999999999999</v>
      </c>
      <c r="L24" s="1">
        <v>0</v>
      </c>
      <c r="M24" s="1">
        <v>0.5</v>
      </c>
      <c r="N24" s="1">
        <f>K24-0.5</f>
        <v>0.80499999999999994</v>
      </c>
      <c r="O24" s="1">
        <v>0</v>
      </c>
      <c r="P24" s="1">
        <v>0</v>
      </c>
      <c r="Q24" s="1">
        <f t="shared" si="2"/>
        <v>44.024999999999999</v>
      </c>
      <c r="R24" s="47">
        <v>0.3</v>
      </c>
      <c r="S24" s="1">
        <v>1</v>
      </c>
      <c r="T24" s="1">
        <f t="shared" si="3"/>
        <v>13.2075</v>
      </c>
      <c r="U24" s="30">
        <f t="shared" si="0"/>
        <v>1.4580157941690132E-2</v>
      </c>
      <c r="V24" s="8">
        <v>0</v>
      </c>
      <c r="W24" s="8">
        <f t="shared" si="1"/>
        <v>9739.4076843944276</v>
      </c>
      <c r="X24" s="8">
        <f t="shared" si="4"/>
        <v>9739.4076843944276</v>
      </c>
    </row>
    <row r="25" spans="1:24">
      <c r="A25" s="7" t="s">
        <v>519</v>
      </c>
      <c r="B25" s="7" t="s">
        <v>520</v>
      </c>
      <c r="C25" s="7" t="s">
        <v>521</v>
      </c>
      <c r="D25" s="7"/>
      <c r="E25" s="7" t="s">
        <v>520</v>
      </c>
      <c r="F25" s="7" t="s">
        <v>213</v>
      </c>
      <c r="G25" s="7" t="s">
        <v>243</v>
      </c>
      <c r="H25" s="7"/>
      <c r="I25" s="7" t="s">
        <v>244</v>
      </c>
      <c r="J25" s="7" t="s">
        <v>245</v>
      </c>
      <c r="K25" s="1">
        <v>4.3390000000000004</v>
      </c>
      <c r="L25" s="1">
        <v>0</v>
      </c>
      <c r="M25" s="1">
        <v>0.5</v>
      </c>
      <c r="N25" s="1">
        <f>K25-0.5</f>
        <v>3.8390000000000004</v>
      </c>
      <c r="O25" s="1">
        <v>0</v>
      </c>
      <c r="P25" s="1">
        <v>0</v>
      </c>
      <c r="Q25" s="1">
        <f t="shared" si="2"/>
        <v>59.195</v>
      </c>
      <c r="R25" s="47">
        <v>0.3</v>
      </c>
      <c r="S25" s="1">
        <v>1</v>
      </c>
      <c r="T25" s="1">
        <f t="shared" si="3"/>
        <v>17.758499999999998</v>
      </c>
      <c r="U25" s="30">
        <f t="shared" si="0"/>
        <v>1.9604144221654681E-2</v>
      </c>
      <c r="V25" s="8">
        <v>0</v>
      </c>
      <c r="W25" s="8">
        <f t="shared" si="1"/>
        <v>13095.383029590645</v>
      </c>
      <c r="X25" s="8">
        <f t="shared" si="4"/>
        <v>13095.383029590645</v>
      </c>
    </row>
    <row r="26" spans="1:24">
      <c r="A26" s="7" t="s">
        <v>522</v>
      </c>
      <c r="B26" s="7" t="s">
        <v>523</v>
      </c>
      <c r="C26" s="7" t="s">
        <v>524</v>
      </c>
      <c r="D26" s="7" t="s">
        <v>525</v>
      </c>
      <c r="E26" s="7" t="s">
        <v>523</v>
      </c>
      <c r="F26" s="7" t="s">
        <v>380</v>
      </c>
      <c r="G26" s="7" t="s">
        <v>214</v>
      </c>
      <c r="H26" s="7"/>
      <c r="I26" s="7" t="s">
        <v>215</v>
      </c>
      <c r="J26" s="7" t="s">
        <v>216</v>
      </c>
      <c r="K26" s="1">
        <v>1.2789999999999999</v>
      </c>
      <c r="L26" s="1">
        <v>0</v>
      </c>
      <c r="M26" s="1">
        <v>0.5</v>
      </c>
      <c r="N26" s="1">
        <f>K26-0.5</f>
        <v>0.77899999999999991</v>
      </c>
      <c r="O26" s="1">
        <v>0</v>
      </c>
      <c r="P26" s="1">
        <v>0</v>
      </c>
      <c r="Q26" s="1">
        <f t="shared" si="2"/>
        <v>43.894999999999996</v>
      </c>
      <c r="R26" s="47">
        <v>0.4</v>
      </c>
      <c r="S26" s="1">
        <v>1</v>
      </c>
      <c r="T26" s="1">
        <f t="shared" si="3"/>
        <v>17.558</v>
      </c>
      <c r="U26" s="30">
        <f t="shared" si="0"/>
        <v>1.9382806219208432E-2</v>
      </c>
      <c r="V26" s="8">
        <v>0</v>
      </c>
      <c r="W26" s="8">
        <f t="shared" si="1"/>
        <v>12947.531336180002</v>
      </c>
      <c r="X26" s="8">
        <f t="shared" si="4"/>
        <v>12947.531336180002</v>
      </c>
    </row>
    <row r="27" spans="1:24">
      <c r="A27" s="7" t="s">
        <v>526</v>
      </c>
      <c r="B27" s="7" t="s">
        <v>527</v>
      </c>
      <c r="C27" s="7" t="s">
        <v>528</v>
      </c>
      <c r="D27" s="7" t="s">
        <v>529</v>
      </c>
      <c r="E27" s="7" t="s">
        <v>527</v>
      </c>
      <c r="F27" s="7" t="s">
        <v>530</v>
      </c>
      <c r="G27" s="7" t="s">
        <v>531</v>
      </c>
      <c r="H27" s="7" t="s">
        <v>532</v>
      </c>
      <c r="I27" s="7" t="s">
        <v>533</v>
      </c>
      <c r="J27" s="7" t="s">
        <v>443</v>
      </c>
      <c r="K27" s="1">
        <v>4.88</v>
      </c>
      <c r="L27" s="6">
        <v>1.5</v>
      </c>
      <c r="M27" s="6">
        <v>0.5</v>
      </c>
      <c r="N27" s="6">
        <v>2.88</v>
      </c>
      <c r="O27" s="1">
        <v>0</v>
      </c>
      <c r="P27" s="1">
        <v>0</v>
      </c>
      <c r="Q27" s="1">
        <f t="shared" si="2"/>
        <v>61.9</v>
      </c>
      <c r="R27" s="47">
        <v>0.2</v>
      </c>
      <c r="S27" s="1">
        <v>1</v>
      </c>
      <c r="T27" s="1">
        <f t="shared" si="3"/>
        <v>12.38</v>
      </c>
      <c r="U27" s="30">
        <f t="shared" si="0"/>
        <v>1.3666655712142635E-2</v>
      </c>
      <c r="V27" s="8">
        <v>0</v>
      </c>
      <c r="W27" s="8">
        <f t="shared" si="1"/>
        <v>9129.1968300437638</v>
      </c>
      <c r="X27" s="8">
        <f t="shared" si="4"/>
        <v>9129.1968300437638</v>
      </c>
    </row>
    <row r="28" spans="1:24">
      <c r="A28" s="7" t="s">
        <v>534</v>
      </c>
      <c r="B28" s="7" t="s">
        <v>535</v>
      </c>
      <c r="C28" s="7" t="s">
        <v>536</v>
      </c>
      <c r="D28" s="7" t="s">
        <v>537</v>
      </c>
      <c r="E28" s="7"/>
      <c r="F28" s="7"/>
      <c r="G28" s="7" t="s">
        <v>538</v>
      </c>
      <c r="H28" s="7"/>
      <c r="I28" s="7" t="s">
        <v>539</v>
      </c>
      <c r="J28" s="7" t="s">
        <v>384</v>
      </c>
      <c r="K28" s="1">
        <v>1.425</v>
      </c>
      <c r="L28" s="1">
        <v>0</v>
      </c>
      <c r="M28" s="1">
        <v>0</v>
      </c>
      <c r="N28" s="1">
        <v>1.425</v>
      </c>
      <c r="O28" s="1">
        <v>0</v>
      </c>
      <c r="P28" s="1">
        <v>0</v>
      </c>
      <c r="Q28" s="1">
        <f t="shared" si="2"/>
        <v>7.125</v>
      </c>
      <c r="R28" s="47">
        <v>0.3</v>
      </c>
      <c r="S28" s="1">
        <v>1</v>
      </c>
      <c r="T28" s="1">
        <f t="shared" si="3"/>
        <v>2.1374999999999997</v>
      </c>
      <c r="U28" s="30">
        <f t="shared" si="0"/>
        <v>2.3596507742087943E-3</v>
      </c>
      <c r="V28" s="8">
        <v>0</v>
      </c>
      <c r="W28" s="8">
        <f t="shared" si="1"/>
        <v>1576.2244122955203</v>
      </c>
      <c r="X28" s="8">
        <f t="shared" si="4"/>
        <v>1576.2244122955203</v>
      </c>
    </row>
    <row r="29" spans="1:24">
      <c r="A29" s="7" t="s">
        <v>540</v>
      </c>
      <c r="B29" s="7" t="s">
        <v>541</v>
      </c>
      <c r="C29" s="7" t="s">
        <v>542</v>
      </c>
      <c r="D29" s="7" t="s">
        <v>543</v>
      </c>
      <c r="E29" s="7" t="s">
        <v>541</v>
      </c>
      <c r="F29" s="7" t="s">
        <v>326</v>
      </c>
      <c r="G29" s="7" t="s">
        <v>544</v>
      </c>
      <c r="H29" s="7"/>
      <c r="I29" s="7" t="s">
        <v>545</v>
      </c>
      <c r="J29" s="7" t="s">
        <v>340</v>
      </c>
      <c r="K29" s="1">
        <v>4.8470000000000004</v>
      </c>
      <c r="L29" s="1">
        <v>0</v>
      </c>
      <c r="M29" s="1">
        <v>0.5</v>
      </c>
      <c r="N29" s="1">
        <v>4.3470000000000004</v>
      </c>
      <c r="O29" s="1">
        <v>0</v>
      </c>
      <c r="P29" s="1">
        <v>0</v>
      </c>
      <c r="Q29" s="1">
        <f t="shared" si="2"/>
        <v>61.734999999999999</v>
      </c>
      <c r="R29" s="47">
        <v>0.5</v>
      </c>
      <c r="S29" s="1">
        <v>1</v>
      </c>
      <c r="T29" s="1">
        <f t="shared" si="3"/>
        <v>30.8675</v>
      </c>
      <c r="U29" s="30">
        <f t="shared" si="0"/>
        <v>3.4075565039948526E-2</v>
      </c>
      <c r="V29" s="8">
        <v>0</v>
      </c>
      <c r="W29" s="8">
        <f t="shared" si="1"/>
        <v>22762.155343406776</v>
      </c>
      <c r="X29" s="8">
        <f t="shared" si="4"/>
        <v>22762.155343406776</v>
      </c>
    </row>
    <row r="30" spans="1:24">
      <c r="A30" s="7" t="s">
        <v>546</v>
      </c>
      <c r="B30" s="7" t="s">
        <v>547</v>
      </c>
      <c r="C30" s="7" t="s">
        <v>548</v>
      </c>
      <c r="D30" s="7" t="s">
        <v>549</v>
      </c>
      <c r="E30" s="7" t="s">
        <v>547</v>
      </c>
      <c r="F30" s="7" t="s">
        <v>213</v>
      </c>
      <c r="G30" s="7" t="s">
        <v>214</v>
      </c>
      <c r="H30" s="7"/>
      <c r="I30" s="7" t="s">
        <v>215</v>
      </c>
      <c r="J30" s="7" t="s">
        <v>216</v>
      </c>
      <c r="K30" s="1">
        <v>7.7910000000000004</v>
      </c>
      <c r="L30" s="1">
        <v>0</v>
      </c>
      <c r="M30" s="1">
        <v>0.5</v>
      </c>
      <c r="N30" s="1">
        <f>K30-0.5</f>
        <v>7.2910000000000004</v>
      </c>
      <c r="O30" s="1">
        <v>0</v>
      </c>
      <c r="P30" s="1">
        <v>0</v>
      </c>
      <c r="Q30" s="1">
        <f t="shared" si="2"/>
        <v>76.454999999999998</v>
      </c>
      <c r="R30" s="47">
        <v>1</v>
      </c>
      <c r="S30" s="1">
        <v>1</v>
      </c>
      <c r="T30" s="1">
        <f t="shared" si="3"/>
        <v>76.454999999999998</v>
      </c>
      <c r="U30" s="30">
        <f t="shared" si="0"/>
        <v>8.4400982429068253E-2</v>
      </c>
      <c r="V30" s="8">
        <v>0</v>
      </c>
      <c r="W30" s="8">
        <f t="shared" si="1"/>
        <v>56379.058452422934</v>
      </c>
      <c r="X30" s="8">
        <f t="shared" si="4"/>
        <v>56379.058452422934</v>
      </c>
    </row>
    <row r="31" spans="1:24">
      <c r="A31" s="7" t="s">
        <v>550</v>
      </c>
      <c r="B31" s="7" t="s">
        <v>445</v>
      </c>
      <c r="C31" s="7" t="s">
        <v>232</v>
      </c>
      <c r="D31" s="7" t="s">
        <v>233</v>
      </c>
      <c r="E31" s="7" t="s">
        <v>231</v>
      </c>
      <c r="F31" s="7" t="s">
        <v>326</v>
      </c>
      <c r="G31" s="7" t="s">
        <v>551</v>
      </c>
      <c r="H31" s="7"/>
      <c r="I31" s="7" t="s">
        <v>236</v>
      </c>
      <c r="J31" s="7" t="s">
        <v>237</v>
      </c>
      <c r="K31" s="1">
        <v>9.8510000000000009</v>
      </c>
      <c r="L31" s="1">
        <v>9.8510000000000009</v>
      </c>
      <c r="M31" s="1">
        <v>0</v>
      </c>
      <c r="N31" s="1">
        <v>0</v>
      </c>
      <c r="O31" s="1">
        <v>0</v>
      </c>
      <c r="P31" s="1">
        <v>0</v>
      </c>
      <c r="Q31" s="1">
        <f t="shared" si="2"/>
        <v>49.255000000000003</v>
      </c>
      <c r="R31" s="47">
        <v>1</v>
      </c>
      <c r="S31" s="1">
        <v>1</v>
      </c>
      <c r="T31" s="1">
        <f t="shared" si="3"/>
        <v>49.255000000000003</v>
      </c>
      <c r="U31" s="30">
        <f t="shared" si="0"/>
        <v>5.4374081349077986E-2</v>
      </c>
      <c r="V31" s="8">
        <v>0</v>
      </c>
      <c r="W31" s="8">
        <f t="shared" si="1"/>
        <v>36321.372363796901</v>
      </c>
      <c r="X31" s="8">
        <f t="shared" si="4"/>
        <v>36321.372363796901</v>
      </c>
    </row>
    <row r="32" spans="1:24">
      <c r="A32" s="7" t="s">
        <v>552</v>
      </c>
      <c r="B32" s="7" t="s">
        <v>553</v>
      </c>
      <c r="C32" s="7" t="s">
        <v>554</v>
      </c>
      <c r="D32" s="7" t="s">
        <v>555</v>
      </c>
      <c r="E32" s="7" t="s">
        <v>556</v>
      </c>
      <c r="F32" s="7" t="s">
        <v>213</v>
      </c>
      <c r="G32" s="7" t="s">
        <v>557</v>
      </c>
      <c r="H32" s="7"/>
      <c r="I32" s="7" t="s">
        <v>558</v>
      </c>
      <c r="J32" s="7" t="s">
        <v>559</v>
      </c>
      <c r="K32" s="1">
        <v>2.6339999999999999</v>
      </c>
      <c r="L32" s="1">
        <v>1.5</v>
      </c>
      <c r="M32" s="1">
        <v>0</v>
      </c>
      <c r="N32" s="1">
        <f>K32-L32</f>
        <v>1.1339999999999999</v>
      </c>
      <c r="O32" s="1">
        <v>0</v>
      </c>
      <c r="P32" s="1">
        <v>0</v>
      </c>
      <c r="Q32" s="1">
        <f t="shared" si="2"/>
        <v>13.17</v>
      </c>
      <c r="R32" s="47">
        <v>0.4</v>
      </c>
      <c r="S32" s="1">
        <v>1</v>
      </c>
      <c r="T32" s="1">
        <f t="shared" si="3"/>
        <v>5.2680000000000007</v>
      </c>
      <c r="U32" s="30">
        <f t="shared" si="0"/>
        <v>5.8155042238745881E-3</v>
      </c>
      <c r="V32" s="8">
        <v>0</v>
      </c>
      <c r="W32" s="8">
        <f t="shared" si="1"/>
        <v>3884.7018498118377</v>
      </c>
      <c r="X32" s="8">
        <f t="shared" si="4"/>
        <v>3884.7018498118377</v>
      </c>
    </row>
    <row r="33" spans="1:24">
      <c r="A33" s="7" t="s">
        <v>560</v>
      </c>
      <c r="B33" s="7" t="s">
        <v>561</v>
      </c>
      <c r="C33" s="7" t="s">
        <v>528</v>
      </c>
      <c r="D33" s="7" t="s">
        <v>529</v>
      </c>
      <c r="E33" s="7" t="s">
        <v>527</v>
      </c>
      <c r="F33" s="7" t="s">
        <v>530</v>
      </c>
      <c r="G33" s="7" t="s">
        <v>531</v>
      </c>
      <c r="H33" s="7" t="s">
        <v>532</v>
      </c>
      <c r="I33" s="7" t="s">
        <v>533</v>
      </c>
      <c r="J33" s="7" t="s">
        <v>443</v>
      </c>
      <c r="K33" s="1">
        <v>4.8819999999999997</v>
      </c>
      <c r="L33" s="1">
        <v>4.8819999999999997</v>
      </c>
      <c r="M33" s="1">
        <v>0</v>
      </c>
      <c r="N33" s="1">
        <v>0</v>
      </c>
      <c r="O33" s="1">
        <v>0</v>
      </c>
      <c r="P33" s="1">
        <v>0</v>
      </c>
      <c r="Q33" s="1">
        <f t="shared" si="2"/>
        <v>24.409999999999997</v>
      </c>
      <c r="R33" s="47">
        <v>0.2</v>
      </c>
      <c r="S33" s="1">
        <v>1</v>
      </c>
      <c r="T33" s="1">
        <f t="shared" si="3"/>
        <v>4.8819999999999997</v>
      </c>
      <c r="U33" s="30">
        <f t="shared" si="0"/>
        <v>5.389387171783549E-3</v>
      </c>
      <c r="V33" s="8">
        <v>0</v>
      </c>
      <c r="W33" s="8">
        <f t="shared" si="1"/>
        <v>3600.0596869364826</v>
      </c>
      <c r="X33" s="8">
        <f t="shared" si="4"/>
        <v>3600.0596869364826</v>
      </c>
    </row>
    <row r="34" spans="1:24">
      <c r="A34" s="7" t="s">
        <v>562</v>
      </c>
      <c r="B34" s="7" t="s">
        <v>563</v>
      </c>
      <c r="C34" s="7" t="s">
        <v>564</v>
      </c>
      <c r="D34" s="7" t="s">
        <v>565</v>
      </c>
      <c r="E34" s="7" t="s">
        <v>566</v>
      </c>
      <c r="F34" s="7" t="s">
        <v>567</v>
      </c>
      <c r="G34" s="7" t="s">
        <v>243</v>
      </c>
      <c r="H34" s="7"/>
      <c r="I34" s="7" t="s">
        <v>244</v>
      </c>
      <c r="J34" s="7" t="s">
        <v>245</v>
      </c>
      <c r="K34" s="1">
        <v>4.9039999999999999</v>
      </c>
      <c r="L34" s="1">
        <v>0</v>
      </c>
      <c r="M34" s="1">
        <v>0.5</v>
      </c>
      <c r="N34" s="1">
        <f>K34-0.5</f>
        <v>4.4039999999999999</v>
      </c>
      <c r="O34" s="1">
        <v>0</v>
      </c>
      <c r="P34" s="1">
        <v>0</v>
      </c>
      <c r="Q34" s="1">
        <f t="shared" si="2"/>
        <v>62.019999999999996</v>
      </c>
      <c r="R34" s="47">
        <v>0.1</v>
      </c>
      <c r="S34" s="1">
        <v>1</v>
      </c>
      <c r="T34" s="1">
        <f t="shared" si="3"/>
        <v>6.202</v>
      </c>
      <c r="U34" s="30">
        <f t="shared" si="0"/>
        <v>6.8465750183124893E-3</v>
      </c>
      <c r="V34" s="8">
        <v>0</v>
      </c>
      <c r="W34" s="8">
        <f t="shared" si="1"/>
        <v>4573.4473941786291</v>
      </c>
      <c r="X34" s="8">
        <f t="shared" si="4"/>
        <v>4573.4473941786291</v>
      </c>
    </row>
    <row r="35" spans="1:24">
      <c r="A35" s="7" t="s">
        <v>568</v>
      </c>
      <c r="B35" s="7" t="s">
        <v>569</v>
      </c>
      <c r="C35" s="7" t="s">
        <v>570</v>
      </c>
      <c r="D35" s="7" t="s">
        <v>571</v>
      </c>
      <c r="E35" s="7"/>
      <c r="F35" s="7"/>
      <c r="G35" s="7" t="s">
        <v>572</v>
      </c>
      <c r="H35" s="7" t="s">
        <v>573</v>
      </c>
      <c r="I35" s="7" t="s">
        <v>574</v>
      </c>
      <c r="J35" s="7" t="s">
        <v>575</v>
      </c>
      <c r="K35" s="1">
        <v>5.008</v>
      </c>
      <c r="L35" s="1">
        <v>0</v>
      </c>
      <c r="M35" s="1">
        <v>0.5</v>
      </c>
      <c r="N35" s="1">
        <f>K35-0.5</f>
        <v>4.508</v>
      </c>
      <c r="O35" s="1">
        <v>0</v>
      </c>
      <c r="P35" s="1">
        <v>0</v>
      </c>
      <c r="Q35" s="1">
        <f t="shared" si="2"/>
        <v>62.54</v>
      </c>
      <c r="R35" s="47">
        <v>0.1</v>
      </c>
      <c r="S35" s="1">
        <v>0.9</v>
      </c>
      <c r="T35" s="1">
        <f t="shared" si="3"/>
        <v>5.6286000000000005</v>
      </c>
      <c r="U35" s="30">
        <f t="shared" si="0"/>
        <v>6.2135814492218118E-3</v>
      </c>
      <c r="V35" s="8">
        <v>0</v>
      </c>
      <c r="W35" s="8">
        <f t="shared" si="1"/>
        <v>4150.6136734720785</v>
      </c>
      <c r="X35" s="8">
        <f t="shared" si="4"/>
        <v>4150.6136734720785</v>
      </c>
    </row>
    <row r="36" spans="1:24">
      <c r="A36" s="7" t="s">
        <v>576</v>
      </c>
      <c r="B36" s="7" t="s">
        <v>577</v>
      </c>
      <c r="C36" s="7" t="s">
        <v>578</v>
      </c>
      <c r="D36" s="7" t="s">
        <v>579</v>
      </c>
      <c r="E36" s="7" t="s">
        <v>580</v>
      </c>
      <c r="F36" s="7" t="s">
        <v>581</v>
      </c>
      <c r="G36" s="7" t="s">
        <v>582</v>
      </c>
      <c r="H36" s="7"/>
      <c r="I36" s="7" t="s">
        <v>583</v>
      </c>
      <c r="J36" s="7" t="s">
        <v>575</v>
      </c>
      <c r="K36" s="1">
        <v>1.0109999999999999</v>
      </c>
      <c r="L36" s="1">
        <v>0</v>
      </c>
      <c r="M36" s="1">
        <v>0.5</v>
      </c>
      <c r="N36" s="1">
        <f>1.011-0.5</f>
        <v>0.5109999999999999</v>
      </c>
      <c r="O36" s="1">
        <v>0</v>
      </c>
      <c r="P36" s="1">
        <v>0</v>
      </c>
      <c r="Q36" s="1">
        <f t="shared" si="2"/>
        <v>42.555</v>
      </c>
      <c r="R36" s="47">
        <v>0.1</v>
      </c>
      <c r="S36" s="1">
        <v>0.9</v>
      </c>
      <c r="T36" s="1">
        <f t="shared" si="3"/>
        <v>3.8299500000000006</v>
      </c>
      <c r="U36" s="30">
        <f t="shared" si="0"/>
        <v>4.2279974187981167E-3</v>
      </c>
      <c r="V36" s="8">
        <v>0</v>
      </c>
      <c r="W36" s="8">
        <f t="shared" si="1"/>
        <v>2824.2623101151953</v>
      </c>
      <c r="X36" s="8">
        <f t="shared" si="4"/>
        <v>2824.2623101151953</v>
      </c>
    </row>
    <row r="37" spans="1:24">
      <c r="A37" s="7" t="s">
        <v>584</v>
      </c>
      <c r="B37" s="7" t="s">
        <v>585</v>
      </c>
      <c r="C37" s="7" t="s">
        <v>586</v>
      </c>
      <c r="D37" s="7"/>
      <c r="E37" s="7" t="s">
        <v>587</v>
      </c>
      <c r="F37" s="7" t="s">
        <v>213</v>
      </c>
      <c r="G37" s="7" t="s">
        <v>588</v>
      </c>
      <c r="H37" s="7" t="s">
        <v>589</v>
      </c>
      <c r="I37" s="7" t="s">
        <v>590</v>
      </c>
      <c r="J37" s="7" t="s">
        <v>591</v>
      </c>
      <c r="K37" s="1">
        <v>0.85699999999999998</v>
      </c>
      <c r="L37" s="1">
        <v>0</v>
      </c>
      <c r="M37" s="1">
        <v>0.5</v>
      </c>
      <c r="N37" s="1">
        <v>0.35699999999999998</v>
      </c>
      <c r="O37" s="1">
        <v>0</v>
      </c>
      <c r="P37" s="1">
        <v>0</v>
      </c>
      <c r="Q37" s="1">
        <f t="shared" si="2"/>
        <v>41.784999999999997</v>
      </c>
      <c r="R37" s="47">
        <v>0.1</v>
      </c>
      <c r="S37" s="1">
        <v>1</v>
      </c>
      <c r="T37" s="1">
        <f t="shared" si="3"/>
        <v>4.1784999999999997</v>
      </c>
      <c r="U37" s="30">
        <f t="shared" si="0"/>
        <v>4.6127722853948295E-3</v>
      </c>
      <c r="V37" s="8">
        <v>0</v>
      </c>
      <c r="W37" s="8">
        <f t="shared" si="1"/>
        <v>3081.2882838722021</v>
      </c>
      <c r="X37" s="8">
        <f t="shared" si="4"/>
        <v>3081.2882838722021</v>
      </c>
    </row>
    <row r="38" spans="1:24">
      <c r="A38" s="7" t="s">
        <v>598</v>
      </c>
      <c r="B38" s="7" t="s">
        <v>599</v>
      </c>
      <c r="C38" s="7" t="s">
        <v>462</v>
      </c>
      <c r="D38" s="7"/>
      <c r="E38" s="7" t="s">
        <v>463</v>
      </c>
      <c r="F38" s="7" t="s">
        <v>464</v>
      </c>
      <c r="G38" s="7" t="s">
        <v>465</v>
      </c>
      <c r="H38" s="7"/>
      <c r="I38" s="7" t="s">
        <v>466</v>
      </c>
      <c r="J38" s="7" t="s">
        <v>467</v>
      </c>
      <c r="K38" s="1">
        <v>21.591999999999999</v>
      </c>
      <c r="L38" s="1">
        <v>21.591999999999999</v>
      </c>
      <c r="M38" s="1">
        <v>0</v>
      </c>
      <c r="N38" s="1">
        <v>0</v>
      </c>
      <c r="O38" s="1">
        <v>0</v>
      </c>
      <c r="P38" s="1">
        <v>0</v>
      </c>
      <c r="Q38" s="1">
        <f t="shared" si="2"/>
        <v>107.96</v>
      </c>
      <c r="R38" s="47">
        <v>0.2</v>
      </c>
      <c r="S38" s="1">
        <v>0.9</v>
      </c>
      <c r="T38" s="1">
        <f t="shared" si="3"/>
        <v>19.4328</v>
      </c>
      <c r="U38" s="30">
        <f t="shared" si="0"/>
        <v>2.1452454533354232E-2</v>
      </c>
      <c r="V38" s="8">
        <v>0</v>
      </c>
      <c r="W38" s="8">
        <f t="shared" si="1"/>
        <v>14330.03684643574</v>
      </c>
      <c r="X38" s="8">
        <f t="shared" si="4"/>
        <v>14330.03684643574</v>
      </c>
    </row>
    <row r="39" spans="1:24">
      <c r="A39" s="7" t="s">
        <v>600</v>
      </c>
      <c r="B39" s="7" t="s">
        <v>601</v>
      </c>
      <c r="C39" s="7" t="s">
        <v>602</v>
      </c>
      <c r="D39" s="7" t="s">
        <v>603</v>
      </c>
      <c r="E39" s="7"/>
      <c r="F39" s="7"/>
      <c r="G39" s="7" t="s">
        <v>243</v>
      </c>
      <c r="H39" s="7"/>
      <c r="I39" s="7" t="s">
        <v>244</v>
      </c>
      <c r="J39" s="7" t="s">
        <v>245</v>
      </c>
      <c r="K39" s="1">
        <v>2.5030000000000001</v>
      </c>
      <c r="L39" s="6">
        <v>0.6</v>
      </c>
      <c r="M39" s="6">
        <v>0.5</v>
      </c>
      <c r="N39" s="6">
        <f>K39-1.1</f>
        <v>1.403</v>
      </c>
      <c r="O39" s="1">
        <v>0</v>
      </c>
      <c r="P39" s="1">
        <v>0</v>
      </c>
      <c r="Q39" s="1">
        <f t="shared" si="2"/>
        <v>50.015000000000001</v>
      </c>
      <c r="R39" s="47">
        <v>0.5</v>
      </c>
      <c r="S39" s="1">
        <v>1</v>
      </c>
      <c r="T39" s="1">
        <f t="shared" si="3"/>
        <v>25.0075</v>
      </c>
      <c r="U39" s="30">
        <f t="shared" si="0"/>
        <v>2.7606534145509443E-2</v>
      </c>
      <c r="V39" s="8">
        <v>0</v>
      </c>
      <c r="W39" s="8">
        <f t="shared" si="1"/>
        <v>18440.903855195429</v>
      </c>
      <c r="X39" s="8">
        <f t="shared" si="4"/>
        <v>18440.903855195429</v>
      </c>
    </row>
    <row r="40" spans="1:24">
      <c r="A40" s="7" t="s">
        <v>604</v>
      </c>
      <c r="B40" s="7" t="s">
        <v>605</v>
      </c>
      <c r="C40" s="7" t="s">
        <v>606</v>
      </c>
      <c r="D40" s="7" t="s">
        <v>607</v>
      </c>
      <c r="E40" s="7" t="s">
        <v>605</v>
      </c>
      <c r="F40" s="7" t="s">
        <v>380</v>
      </c>
      <c r="G40" s="7" t="s">
        <v>214</v>
      </c>
      <c r="H40" s="7"/>
      <c r="I40" s="7" t="s">
        <v>215</v>
      </c>
      <c r="J40" s="7" t="s">
        <v>216</v>
      </c>
      <c r="K40" s="1">
        <v>2.4849999999999999</v>
      </c>
      <c r="L40" s="1">
        <v>0</v>
      </c>
      <c r="M40" s="1">
        <v>0.5</v>
      </c>
      <c r="N40" s="1">
        <f>K40-M40</f>
        <v>1.9849999999999999</v>
      </c>
      <c r="O40" s="1">
        <v>0</v>
      </c>
      <c r="P40" s="1">
        <v>0</v>
      </c>
      <c r="Q40" s="1">
        <f t="shared" si="2"/>
        <v>49.924999999999997</v>
      </c>
      <c r="R40" s="47">
        <v>0.1</v>
      </c>
      <c r="S40" s="1">
        <v>1</v>
      </c>
      <c r="T40" s="1">
        <f t="shared" si="3"/>
        <v>4.9924999999999997</v>
      </c>
      <c r="U40" s="30">
        <f t="shared" si="0"/>
        <v>5.5113714574210092E-3</v>
      </c>
      <c r="V40" s="8">
        <v>0</v>
      </c>
      <c r="W40" s="8">
        <f t="shared" si="1"/>
        <v>3681.5440366715256</v>
      </c>
      <c r="X40" s="8">
        <f t="shared" si="4"/>
        <v>3681.5440366715256</v>
      </c>
    </row>
    <row r="41" spans="1:24">
      <c r="U41" s="49" t="s">
        <v>171</v>
      </c>
      <c r="V41" s="31">
        <f>SUM(V3:V40)</f>
        <v>621800</v>
      </c>
      <c r="W41" s="8">
        <f>Overview!D17-V41</f>
        <v>667990.54738260503</v>
      </c>
      <c r="X41" s="31">
        <f>SUM(X3:X40)</f>
        <v>1289790.5473826053</v>
      </c>
    </row>
    <row r="42" spans="1:24">
      <c r="K42" s="45"/>
      <c r="L42" s="45" t="s">
        <v>310</v>
      </c>
      <c r="M42" s="45"/>
      <c r="N42" s="45"/>
      <c r="O42" s="45"/>
      <c r="P42" s="45"/>
      <c r="U42" s="3"/>
      <c r="V42" s="3"/>
      <c r="X42" s="23"/>
    </row>
    <row r="43" spans="1:24">
      <c r="L43" t="s">
        <v>311</v>
      </c>
      <c r="M43" s="45"/>
    </row>
    <row r="44" spans="1:24">
      <c r="L44" t="s">
        <v>312</v>
      </c>
    </row>
    <row r="45" spans="1:24">
      <c r="L45" t="s">
        <v>313</v>
      </c>
    </row>
    <row r="46" spans="1:24">
      <c r="L46" t="s">
        <v>314</v>
      </c>
    </row>
    <row r="48" spans="1:24">
      <c r="S48" t="s">
        <v>315</v>
      </c>
      <c r="T48">
        <f>SUM(T3:T40)</f>
        <v>905.85438462465561</v>
      </c>
    </row>
  </sheetData>
  <pageMargins left="0.7" right="0.7" top="0.75" bottom="0.75" header="0.3" footer="0.3"/>
  <pageSetup paperSize="3" scale="87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B912-729A-4651-A1E4-2749F33E86EF}">
  <dimension ref="B2:M65"/>
  <sheetViews>
    <sheetView workbookViewId="0">
      <selection activeCell="P15" sqref="P15"/>
    </sheetView>
  </sheetViews>
  <sheetFormatPr defaultRowHeight="14.45"/>
  <cols>
    <col min="2" max="2" width="10.7109375" bestFit="1" customWidth="1"/>
    <col min="3" max="3" width="13.28515625" bestFit="1" customWidth="1"/>
    <col min="4" max="4" width="16.85546875" bestFit="1" customWidth="1"/>
    <col min="5" max="5" width="11.85546875" bestFit="1" customWidth="1"/>
    <col min="6" max="6" width="11.5703125" bestFit="1" customWidth="1"/>
    <col min="9" max="9" width="10.7109375" bestFit="1" customWidth="1"/>
    <col min="10" max="10" width="13.28515625" bestFit="1" customWidth="1"/>
    <col min="11" max="11" width="14.5703125" bestFit="1" customWidth="1"/>
    <col min="12" max="12" width="13" bestFit="1" customWidth="1"/>
    <col min="13" max="13" width="11.5703125" bestFit="1" customWidth="1"/>
  </cols>
  <sheetData>
    <row r="2" spans="2:13">
      <c r="B2" t="s">
        <v>621</v>
      </c>
      <c r="C2" t="s">
        <v>622</v>
      </c>
      <c r="D2" t="s">
        <v>623</v>
      </c>
      <c r="E2" t="s">
        <v>624</v>
      </c>
      <c r="F2" t="s">
        <v>625</v>
      </c>
      <c r="I2" t="s">
        <v>621</v>
      </c>
      <c r="J2" t="s">
        <v>626</v>
      </c>
      <c r="K2" t="s">
        <v>627</v>
      </c>
      <c r="L2" t="s">
        <v>624</v>
      </c>
      <c r="M2" t="s">
        <v>625</v>
      </c>
    </row>
    <row r="3" spans="2:13">
      <c r="B3" s="57" t="s">
        <v>318</v>
      </c>
      <c r="C3" s="58">
        <v>26667.447527787692</v>
      </c>
      <c r="D3" s="58">
        <v>61182.364706419816</v>
      </c>
      <c r="E3" s="60">
        <f>C3-D3</f>
        <v>-34514.917178632124</v>
      </c>
      <c r="F3" s="61">
        <f t="shared" ref="F3:F4" si="0">E3/C3</f>
        <v>-1.294271494962812</v>
      </c>
      <c r="I3" s="57" t="s">
        <v>318</v>
      </c>
      <c r="J3" s="58">
        <v>395831.56124436576</v>
      </c>
      <c r="K3" s="58">
        <v>826685.77126369323</v>
      </c>
      <c r="L3" s="60">
        <f>J3-K3</f>
        <v>-430854.21001932747</v>
      </c>
      <c r="M3" s="61">
        <f>L3/J3</f>
        <v>-1.0884786666956567</v>
      </c>
    </row>
    <row r="4" spans="2:13">
      <c r="B4" s="57" t="s">
        <v>318</v>
      </c>
      <c r="C4" s="58">
        <v>87498.720392930205</v>
      </c>
      <c r="D4" s="58">
        <v>79607.388870127877</v>
      </c>
      <c r="E4" s="60">
        <f t="shared" ref="E4:E62" si="1">C4-D4</f>
        <v>7891.3315228023275</v>
      </c>
      <c r="F4" s="61">
        <f t="shared" si="0"/>
        <v>9.018796489096928E-2</v>
      </c>
      <c r="I4" s="7" t="s">
        <v>322</v>
      </c>
      <c r="J4" s="4">
        <v>43745.344453036902</v>
      </c>
      <c r="K4" s="4">
        <v>22642.961084963168</v>
      </c>
      <c r="L4" s="23">
        <f t="shared" ref="L4:L40" si="2">J4-K4</f>
        <v>21102.383368073733</v>
      </c>
      <c r="M4" s="59">
        <f>L4/J4</f>
        <v>0.48239152375925015</v>
      </c>
    </row>
    <row r="5" spans="2:13">
      <c r="B5" s="7" t="s">
        <v>322</v>
      </c>
      <c r="C5" s="4">
        <v>3868.3148109720037</v>
      </c>
      <c r="D5" s="4">
        <v>3519.439370612844</v>
      </c>
      <c r="E5" s="23">
        <f t="shared" si="1"/>
        <v>348.87544035915971</v>
      </c>
      <c r="F5" s="59">
        <f>E5/C5</f>
        <v>9.0187964890969322E-2</v>
      </c>
      <c r="I5" s="7" t="s">
        <v>335</v>
      </c>
      <c r="J5" s="4">
        <v>97358.915751054243</v>
      </c>
      <c r="K5" s="4">
        <v>50393.800030354723</v>
      </c>
      <c r="L5" s="23">
        <f t="shared" si="2"/>
        <v>46965.115720699519</v>
      </c>
      <c r="M5" s="59">
        <f>L5/J5</f>
        <v>0.48239152375925021</v>
      </c>
    </row>
    <row r="6" spans="2:13">
      <c r="B6" s="7" t="s">
        <v>327</v>
      </c>
      <c r="C6" s="4">
        <v>1242.256329788366</v>
      </c>
      <c r="D6" s="4">
        <v>1130.2197595318285</v>
      </c>
      <c r="E6" s="23">
        <f t="shared" si="1"/>
        <v>112.03657025653752</v>
      </c>
      <c r="F6" s="59">
        <f>E6/C6</f>
        <v>9.0187964890969294E-2</v>
      </c>
      <c r="I6" s="7" t="s">
        <v>341</v>
      </c>
      <c r="J6" s="4">
        <v>15371.524223922297</v>
      </c>
      <c r="K6" s="4">
        <v>7956.4312310421947</v>
      </c>
      <c r="L6" s="23">
        <f t="shared" si="2"/>
        <v>7415.0929928801024</v>
      </c>
      <c r="M6" s="59">
        <f t="shared" ref="M6:M40" si="3">L6/J6</f>
        <v>0.48239152375925015</v>
      </c>
    </row>
    <row r="7" spans="2:13">
      <c r="B7" s="7" t="s">
        <v>335</v>
      </c>
      <c r="C7" s="4">
        <v>3228.4715707087644</v>
      </c>
      <c r="D7" s="4">
        <v>2937.3022900381902</v>
      </c>
      <c r="E7" s="23">
        <f t="shared" si="1"/>
        <v>291.16928067057415</v>
      </c>
      <c r="F7" s="59">
        <f t="shared" ref="F7:F61" si="4">E7/C7</f>
        <v>9.0187964890969183E-2</v>
      </c>
      <c r="I7" s="7" t="s">
        <v>347</v>
      </c>
      <c r="J7" s="4">
        <v>0</v>
      </c>
      <c r="K7" s="4">
        <v>0</v>
      </c>
      <c r="L7" s="23">
        <f t="shared" si="2"/>
        <v>0</v>
      </c>
      <c r="M7" s="59" t="e">
        <f t="shared" si="3"/>
        <v>#DIV/0!</v>
      </c>
    </row>
    <row r="8" spans="2:13">
      <c r="B8" s="7" t="s">
        <v>341</v>
      </c>
      <c r="C8" s="4">
        <v>23865.146225452634</v>
      </c>
      <c r="D8" s="4">
        <v>21712.797255553665</v>
      </c>
      <c r="E8" s="23">
        <f t="shared" si="1"/>
        <v>2152.3489698989688</v>
      </c>
      <c r="F8" s="59">
        <f t="shared" si="4"/>
        <v>9.0187964890969224E-2</v>
      </c>
      <c r="I8" s="7" t="s">
        <v>355</v>
      </c>
      <c r="J8" s="4">
        <v>2084.6362405041573</v>
      </c>
      <c r="K8" s="4">
        <v>1079.0253879636023</v>
      </c>
      <c r="L8" s="23">
        <f t="shared" si="2"/>
        <v>1005.610852540555</v>
      </c>
      <c r="M8" s="59">
        <f t="shared" si="3"/>
        <v>0.4823915237592501</v>
      </c>
    </row>
    <row r="9" spans="2:13">
      <c r="B9" s="7" t="s">
        <v>347</v>
      </c>
      <c r="C9" s="4">
        <v>16535.771792754349</v>
      </c>
      <c r="D9" s="4">
        <v>15044.444186864339</v>
      </c>
      <c r="E9" s="23">
        <f t="shared" si="1"/>
        <v>1491.3276058900101</v>
      </c>
      <c r="F9" s="59">
        <f t="shared" si="4"/>
        <v>9.0187964890969322E-2</v>
      </c>
      <c r="I9" s="7" t="s">
        <v>363</v>
      </c>
      <c r="J9" s="4">
        <v>2148.6694356049679</v>
      </c>
      <c r="K9" s="4">
        <v>1112.1695125085594</v>
      </c>
      <c r="L9" s="23">
        <f t="shared" si="2"/>
        <v>1036.4999230964086</v>
      </c>
      <c r="M9" s="59">
        <f t="shared" si="3"/>
        <v>0.48239152375925021</v>
      </c>
    </row>
    <row r="10" spans="2:13">
      <c r="B10" s="7" t="s">
        <v>355</v>
      </c>
      <c r="C10" s="4">
        <v>23.042535569951959</v>
      </c>
      <c r="D10" s="4">
        <v>20.964376180970223</v>
      </c>
      <c r="E10" s="23">
        <f t="shared" si="1"/>
        <v>2.0781593889817351</v>
      </c>
      <c r="F10" s="59">
        <f t="shared" si="4"/>
        <v>9.0187964890969155E-2</v>
      </c>
      <c r="I10" s="7" t="s">
        <v>374</v>
      </c>
      <c r="J10" s="4">
        <v>569.89543639721182</v>
      </c>
      <c r="K10" s="4">
        <v>294.98270845011791</v>
      </c>
      <c r="L10" s="23">
        <f t="shared" si="2"/>
        <v>274.91272794709391</v>
      </c>
      <c r="M10" s="59">
        <f t="shared" si="3"/>
        <v>0.48239152375925026</v>
      </c>
    </row>
    <row r="11" spans="2:13">
      <c r="B11" s="7" t="s">
        <v>363</v>
      </c>
      <c r="C11" s="4">
        <v>178.12745073700063</v>
      </c>
      <c r="D11" s="4">
        <v>162.06249846381417</v>
      </c>
      <c r="E11" s="23">
        <f t="shared" si="1"/>
        <v>16.064952273186464</v>
      </c>
      <c r="F11" s="59">
        <f t="shared" si="4"/>
        <v>9.0187964890969224E-2</v>
      </c>
      <c r="I11" s="7" t="s">
        <v>385</v>
      </c>
      <c r="J11" s="4">
        <v>796.85753903230602</v>
      </c>
      <c r="K11" s="4">
        <v>412.46021655946572</v>
      </c>
      <c r="L11" s="23">
        <f t="shared" si="2"/>
        <v>384.3973224728403</v>
      </c>
      <c r="M11" s="59">
        <f t="shared" si="3"/>
        <v>0.48239152375925021</v>
      </c>
    </row>
    <row r="12" spans="2:13">
      <c r="B12" s="7" t="s">
        <v>368</v>
      </c>
      <c r="C12" s="4">
        <v>61.848533051993932</v>
      </c>
      <c r="D12" s="4">
        <v>56.270539724542751</v>
      </c>
      <c r="E12" s="23">
        <f t="shared" si="1"/>
        <v>5.5779933274511819</v>
      </c>
      <c r="F12" s="59">
        <f t="shared" si="4"/>
        <v>9.018796489096928E-2</v>
      </c>
      <c r="I12" s="7" t="s">
        <v>446</v>
      </c>
      <c r="J12" s="4">
        <v>83.243153631053389</v>
      </c>
      <c r="K12" s="4">
        <v>43.087361908444187</v>
      </c>
      <c r="L12" s="23">
        <f t="shared" si="2"/>
        <v>40.155791722609202</v>
      </c>
      <c r="M12" s="59">
        <f t="shared" si="3"/>
        <v>0.48239152375925015</v>
      </c>
    </row>
    <row r="13" spans="2:13">
      <c r="B13" s="7" t="s">
        <v>374</v>
      </c>
      <c r="C13" s="4">
        <v>4502.8102955398272</v>
      </c>
      <c r="D13" s="4">
        <v>4096.7109986949872</v>
      </c>
      <c r="E13" s="23">
        <f t="shared" si="1"/>
        <v>406.09929684483996</v>
      </c>
      <c r="F13" s="59">
        <f t="shared" si="4"/>
        <v>9.0187964890969058E-2</v>
      </c>
      <c r="I13" s="7" t="s">
        <v>449</v>
      </c>
      <c r="J13" s="4">
        <v>29179.927007439255</v>
      </c>
      <c r="K13" s="4">
        <v>15103.777555136936</v>
      </c>
      <c r="L13" s="23">
        <f t="shared" si="2"/>
        <v>14076.149452302319</v>
      </c>
      <c r="M13" s="59">
        <f t="shared" si="3"/>
        <v>0.48239152375925015</v>
      </c>
    </row>
    <row r="14" spans="2:13">
      <c r="B14" s="7" t="s">
        <v>376</v>
      </c>
      <c r="C14" s="4">
        <v>9410.4771546090506</v>
      </c>
      <c r="D14" s="4">
        <v>8561.7653713819</v>
      </c>
      <c r="E14" s="23">
        <f t="shared" si="1"/>
        <v>848.71178322715059</v>
      </c>
      <c r="F14" s="59">
        <f t="shared" si="4"/>
        <v>9.0187964890969391E-2</v>
      </c>
      <c r="I14" s="7" t="s">
        <v>457</v>
      </c>
      <c r="J14" s="4">
        <v>2689.394194234033</v>
      </c>
      <c r="K14" s="4">
        <v>1392.053230888197</v>
      </c>
      <c r="L14" s="23">
        <f t="shared" si="2"/>
        <v>1297.3409633458359</v>
      </c>
      <c r="M14" s="59">
        <f>L14/J14</f>
        <v>0.48239152375925015</v>
      </c>
    </row>
    <row r="15" spans="2:13">
      <c r="B15" s="7" t="s">
        <v>385</v>
      </c>
      <c r="C15" s="4">
        <v>22.0201705105343</v>
      </c>
      <c r="D15" s="4">
        <v>20.034216145637075</v>
      </c>
      <c r="E15" s="23">
        <f t="shared" si="1"/>
        <v>1.9859543648972249</v>
      </c>
      <c r="F15" s="59">
        <f t="shared" si="4"/>
        <v>9.0187964890969294E-2</v>
      </c>
      <c r="I15" s="7" t="s">
        <v>461</v>
      </c>
      <c r="J15" s="4">
        <v>10431.007481921997</v>
      </c>
      <c r="K15" s="4">
        <v>5399.1778883735051</v>
      </c>
      <c r="L15" s="23">
        <f t="shared" si="2"/>
        <v>5031.8295935484921</v>
      </c>
      <c r="M15" s="59">
        <f t="shared" si="3"/>
        <v>0.48239152375925026</v>
      </c>
    </row>
    <row r="16" spans="2:13">
      <c r="B16" s="7" t="s">
        <v>393</v>
      </c>
      <c r="C16" s="4">
        <v>10</v>
      </c>
      <c r="D16" s="4">
        <v>10</v>
      </c>
      <c r="E16" s="23">
        <f t="shared" si="1"/>
        <v>0</v>
      </c>
      <c r="F16" s="59">
        <f t="shared" si="4"/>
        <v>0</v>
      </c>
      <c r="I16" s="7" t="s">
        <v>468</v>
      </c>
      <c r="J16" s="4">
        <v>27034.814971562108</v>
      </c>
      <c r="K16" s="4">
        <v>13993.449382880874</v>
      </c>
      <c r="L16" s="23">
        <f t="shared" si="2"/>
        <v>13041.365588681234</v>
      </c>
      <c r="M16" s="59">
        <f t="shared" si="3"/>
        <v>0.48239152375925015</v>
      </c>
    </row>
    <row r="17" spans="2:13">
      <c r="B17" s="7" t="s">
        <v>400</v>
      </c>
      <c r="C17" s="4">
        <v>7043.1122160613404</v>
      </c>
      <c r="D17" s="4">
        <v>6407.9082587960438</v>
      </c>
      <c r="E17" s="23">
        <f t="shared" si="1"/>
        <v>635.20395726529659</v>
      </c>
      <c r="F17" s="59">
        <f t="shared" si="4"/>
        <v>9.0187964890969224E-2</v>
      </c>
      <c r="I17" s="7" t="s">
        <v>475</v>
      </c>
      <c r="J17" s="4">
        <v>34959.278605260166</v>
      </c>
      <c r="K17" s="4">
        <v>18095.218929344559</v>
      </c>
      <c r="L17" s="23">
        <f t="shared" si="2"/>
        <v>16864.059675915607</v>
      </c>
      <c r="M17" s="59">
        <f t="shared" si="3"/>
        <v>0.48239152375925021</v>
      </c>
    </row>
    <row r="18" spans="2:13">
      <c r="B18" s="7" t="s">
        <v>403</v>
      </c>
      <c r="C18" s="4">
        <v>1075.4493990412734</v>
      </c>
      <c r="D18" s="4">
        <v>978.45680639852503</v>
      </c>
      <c r="E18" s="23">
        <f t="shared" si="1"/>
        <v>96.992592642748377</v>
      </c>
      <c r="F18" s="59">
        <f t="shared" si="4"/>
        <v>9.018796489096928E-2</v>
      </c>
      <c r="I18" s="7" t="s">
        <v>482</v>
      </c>
      <c r="J18" s="4">
        <v>13384.360735960483</v>
      </c>
      <c r="K18" s="4">
        <v>6927.8585659970258</v>
      </c>
      <c r="L18" s="23">
        <f t="shared" si="2"/>
        <v>6456.5021699634572</v>
      </c>
      <c r="M18" s="59">
        <f t="shared" si="3"/>
        <v>0.48239152375925021</v>
      </c>
    </row>
    <row r="19" spans="2:13">
      <c r="B19" s="7" t="s">
        <v>407</v>
      </c>
      <c r="C19" s="4">
        <v>11950.702501229351</v>
      </c>
      <c r="D19" s="4">
        <v>10872.89296362606</v>
      </c>
      <c r="E19" s="23">
        <f t="shared" si="1"/>
        <v>1077.8095376032907</v>
      </c>
      <c r="F19" s="59">
        <f t="shared" si="4"/>
        <v>9.0187964890969211E-2</v>
      </c>
      <c r="I19" s="7" t="s">
        <v>487</v>
      </c>
      <c r="J19" s="4">
        <v>10307.209971393764</v>
      </c>
      <c r="K19" s="4">
        <v>5335.0992475865887</v>
      </c>
      <c r="L19" s="23">
        <f t="shared" si="2"/>
        <v>4972.1107238071754</v>
      </c>
      <c r="M19" s="59">
        <f t="shared" si="3"/>
        <v>0.48239152375925021</v>
      </c>
    </row>
    <row r="20" spans="2:13">
      <c r="B20" s="7" t="s">
        <v>413</v>
      </c>
      <c r="C20" s="4">
        <v>4733.9434424343281</v>
      </c>
      <c r="D20" s="4">
        <v>4306.9987174522275</v>
      </c>
      <c r="E20" s="23">
        <f t="shared" si="1"/>
        <v>426.94472498210052</v>
      </c>
      <c r="F20" s="59">
        <f t="shared" si="4"/>
        <v>9.0187964890969086E-2</v>
      </c>
      <c r="I20" s="7" t="s">
        <v>488</v>
      </c>
      <c r="J20" s="4">
        <v>45556.060914498703</v>
      </c>
      <c r="K20" s="4">
        <v>23580.203273484454</v>
      </c>
      <c r="L20" s="23">
        <f t="shared" si="2"/>
        <v>21975.857641014249</v>
      </c>
      <c r="M20" s="59">
        <f t="shared" si="3"/>
        <v>0.48239152375925015</v>
      </c>
    </row>
    <row r="21" spans="2:13">
      <c r="B21" s="7" t="s">
        <v>417</v>
      </c>
      <c r="C21" s="4">
        <v>8146.3041325550312</v>
      </c>
      <c r="D21" s="4">
        <v>7411.6055414570001</v>
      </c>
      <c r="E21" s="23">
        <f t="shared" si="1"/>
        <v>734.6985910980311</v>
      </c>
      <c r="F21" s="59">
        <f t="shared" si="4"/>
        <v>9.018796489096928E-2</v>
      </c>
      <c r="I21" s="7" t="s">
        <v>502</v>
      </c>
      <c r="J21" s="4">
        <v>61129.289702988564</v>
      </c>
      <c r="K21" s="4">
        <v>31641.038496843266</v>
      </c>
      <c r="L21" s="23">
        <f t="shared" si="2"/>
        <v>29488.251206145298</v>
      </c>
      <c r="M21" s="59">
        <f t="shared" si="3"/>
        <v>0.48239152375925021</v>
      </c>
    </row>
    <row r="22" spans="2:13">
      <c r="B22" s="7" t="s">
        <v>423</v>
      </c>
      <c r="C22" s="4">
        <v>8187.9644739438518</v>
      </c>
      <c r="D22" s="4">
        <v>7449.5086214393004</v>
      </c>
      <c r="E22" s="23">
        <f t="shared" si="1"/>
        <v>738.45585250455133</v>
      </c>
      <c r="F22" s="59">
        <f t="shared" si="4"/>
        <v>9.0187964890969211E-2</v>
      </c>
      <c r="I22" s="7" t="s">
        <v>508</v>
      </c>
      <c r="J22" s="4">
        <v>37210.401153026425</v>
      </c>
      <c r="K22" s="4">
        <v>19260.419041125049</v>
      </c>
      <c r="L22" s="23">
        <f t="shared" si="2"/>
        <v>17949.982111901376</v>
      </c>
      <c r="M22" s="59">
        <f t="shared" si="3"/>
        <v>0.48239152375925015</v>
      </c>
    </row>
    <row r="23" spans="2:13">
      <c r="B23" s="7" t="s">
        <v>251</v>
      </c>
      <c r="C23" s="4">
        <v>402.26132914779618</v>
      </c>
      <c r="D23" s="4">
        <v>365.98219851762013</v>
      </c>
      <c r="E23" s="23">
        <f t="shared" si="1"/>
        <v>36.279130630176041</v>
      </c>
      <c r="F23" s="59">
        <f t="shared" si="4"/>
        <v>9.0187964890969183E-2</v>
      </c>
      <c r="I23" s="7" t="s">
        <v>512</v>
      </c>
      <c r="J23" s="4">
        <v>33598.928949340734</v>
      </c>
      <c r="K23" s="4">
        <v>17391.090416789473</v>
      </c>
      <c r="L23" s="23">
        <f t="shared" si="2"/>
        <v>16207.838532551261</v>
      </c>
      <c r="M23" s="59">
        <f t="shared" si="3"/>
        <v>0.48239152375925021</v>
      </c>
    </row>
    <row r="24" spans="2:13">
      <c r="B24" s="7" t="s">
        <v>428</v>
      </c>
      <c r="C24" s="4">
        <v>3136.1669067106122</v>
      </c>
      <c r="D24" s="4">
        <v>2853.3223958359758</v>
      </c>
      <c r="E24" s="23">
        <f t="shared" si="1"/>
        <v>282.8445108746364</v>
      </c>
      <c r="F24" s="59">
        <f t="shared" si="4"/>
        <v>9.0187964890969266E-2</v>
      </c>
      <c r="I24" s="7" t="s">
        <v>516</v>
      </c>
      <c r="J24" s="4">
        <v>18793.742762087822</v>
      </c>
      <c r="K24" s="4">
        <v>9727.8005539448986</v>
      </c>
      <c r="L24" s="23">
        <f t="shared" si="2"/>
        <v>9065.9422081429238</v>
      </c>
      <c r="M24" s="59">
        <f t="shared" si="3"/>
        <v>0.48239152375925015</v>
      </c>
    </row>
    <row r="25" spans="2:13">
      <c r="B25" s="7" t="s">
        <v>256</v>
      </c>
      <c r="C25" s="4">
        <v>195.82223061153715</v>
      </c>
      <c r="D25" s="4">
        <v>178.16142215227256</v>
      </c>
      <c r="E25" s="23">
        <f t="shared" si="1"/>
        <v>17.660808459264587</v>
      </c>
      <c r="F25" s="59">
        <f t="shared" si="4"/>
        <v>9.0187964890969197E-2</v>
      </c>
      <c r="I25" s="7" t="s">
        <v>519</v>
      </c>
      <c r="J25" s="4">
        <v>25269.633226616435</v>
      </c>
      <c r="K25" s="4">
        <v>13079.776349591557</v>
      </c>
      <c r="L25" s="23">
        <f t="shared" si="2"/>
        <v>12189.856877024878</v>
      </c>
      <c r="M25" s="59">
        <f t="shared" si="3"/>
        <v>0.4823915237592501</v>
      </c>
    </row>
    <row r="26" spans="2:13">
      <c r="B26" s="7" t="s">
        <v>436</v>
      </c>
      <c r="C26" s="4">
        <v>8727.0654341213958</v>
      </c>
      <c r="D26" s="4">
        <v>7939.9891631476639</v>
      </c>
      <c r="E26" s="23">
        <f t="shared" si="1"/>
        <v>787.07627097373188</v>
      </c>
      <c r="F26" s="59">
        <f t="shared" si="4"/>
        <v>9.0187964890969266E-2</v>
      </c>
      <c r="I26" s="7" t="s">
        <v>522</v>
      </c>
      <c r="J26" s="4">
        <v>24984.329768445052</v>
      </c>
      <c r="K26" s="4">
        <v>12932.100861341249</v>
      </c>
      <c r="L26" s="23">
        <f t="shared" si="2"/>
        <v>12052.228907103803</v>
      </c>
      <c r="M26" s="59">
        <f t="shared" si="3"/>
        <v>0.48239152375925021</v>
      </c>
    </row>
    <row r="27" spans="2:13">
      <c r="B27" s="7" t="s">
        <v>266</v>
      </c>
      <c r="C27" s="4">
        <v>213.51701048607362</v>
      </c>
      <c r="D27" s="4">
        <v>194.26034584073091</v>
      </c>
      <c r="E27" s="23">
        <f t="shared" si="1"/>
        <v>19.25666464534271</v>
      </c>
      <c r="F27" s="59">
        <f t="shared" si="4"/>
        <v>9.0187964890969197E-2</v>
      </c>
      <c r="I27" s="7" t="s">
        <v>526</v>
      </c>
      <c r="J27" s="4">
        <v>17616.243452178478</v>
      </c>
      <c r="K27" s="4">
        <v>9118.316930368188</v>
      </c>
      <c r="L27" s="23">
        <f t="shared" si="2"/>
        <v>8497.9265218102901</v>
      </c>
      <c r="M27" s="59">
        <f t="shared" si="3"/>
        <v>0.48239152375925021</v>
      </c>
    </row>
    <row r="28" spans="2:13">
      <c r="B28" s="7" t="s">
        <v>444</v>
      </c>
      <c r="C28" s="4">
        <v>343.27872956600783</v>
      </c>
      <c r="D28" s="4">
        <v>312.31911955609218</v>
      </c>
      <c r="E28" s="23">
        <f t="shared" si="1"/>
        <v>30.95961000991565</v>
      </c>
      <c r="F28" s="59">
        <f t="shared" si="4"/>
        <v>9.018796489096928E-2</v>
      </c>
      <c r="I28" s="7" t="s">
        <v>534</v>
      </c>
      <c r="J28" s="4">
        <v>3041.5767672884886</v>
      </c>
      <c r="K28" s="4">
        <v>1574.3459158854603</v>
      </c>
      <c r="L28" s="23">
        <f t="shared" si="2"/>
        <v>1467.2308514030283</v>
      </c>
      <c r="M28" s="59">
        <f t="shared" si="3"/>
        <v>0.48239152375925021</v>
      </c>
    </row>
    <row r="29" spans="2:13">
      <c r="B29" s="7" t="s">
        <v>446</v>
      </c>
      <c r="C29" s="4">
        <v>10</v>
      </c>
      <c r="D29" s="4">
        <v>10</v>
      </c>
      <c r="E29" s="23">
        <f t="shared" si="1"/>
        <v>0</v>
      </c>
      <c r="F29" s="59">
        <f t="shared" si="4"/>
        <v>0</v>
      </c>
      <c r="I29" s="7" t="s">
        <v>540</v>
      </c>
      <c r="J29" s="4">
        <v>43923.21443942804</v>
      </c>
      <c r="K29" s="4">
        <v>22735.028097588049</v>
      </c>
      <c r="L29" s="23">
        <f t="shared" si="2"/>
        <v>21188.186341839992</v>
      </c>
      <c r="M29" s="59">
        <f t="shared" si="3"/>
        <v>0.48239152375925015</v>
      </c>
    </row>
    <row r="30" spans="2:13">
      <c r="B30" s="7" t="s">
        <v>449</v>
      </c>
      <c r="C30" s="4">
        <v>1433.513100235783</v>
      </c>
      <c r="D30" s="4">
        <v>1304.2274710809736</v>
      </c>
      <c r="E30" s="23">
        <f t="shared" si="1"/>
        <v>129.28562915480938</v>
      </c>
      <c r="F30" s="59">
        <f t="shared" si="4"/>
        <v>9.0187964890969322E-2</v>
      </c>
      <c r="I30" s="7" t="s">
        <v>546</v>
      </c>
      <c r="J30" s="4">
        <v>108792.39847627669</v>
      </c>
      <c r="K30" s="4">
        <v>56311.867601882048</v>
      </c>
      <c r="L30" s="23">
        <f t="shared" si="2"/>
        <v>52480.530874394644</v>
      </c>
      <c r="M30" s="59">
        <f t="shared" si="3"/>
        <v>0.48239152375925021</v>
      </c>
    </row>
    <row r="31" spans="2:13">
      <c r="B31" s="7" t="s">
        <v>457</v>
      </c>
      <c r="C31" s="4">
        <v>66.060511531602913</v>
      </c>
      <c r="D31" s="4">
        <v>60.102648436911238</v>
      </c>
      <c r="E31" s="23">
        <f t="shared" si="1"/>
        <v>5.9578630946916746</v>
      </c>
      <c r="F31" s="59">
        <f t="shared" si="4"/>
        <v>9.018796489096928E-2</v>
      </c>
      <c r="I31" s="7" t="s">
        <v>550</v>
      </c>
      <c r="J31" s="4">
        <v>70087.889437564707</v>
      </c>
      <c r="K31" s="4">
        <v>36278.085654708011</v>
      </c>
      <c r="L31" s="23">
        <f t="shared" si="2"/>
        <v>33809.803782856696</v>
      </c>
      <c r="M31" s="59">
        <f t="shared" si="3"/>
        <v>0.48239152375925021</v>
      </c>
    </row>
    <row r="32" spans="2:13">
      <c r="B32" s="7" t="s">
        <v>461</v>
      </c>
      <c r="C32" s="4">
        <v>2305.983713249595</v>
      </c>
      <c r="D32" s="4">
        <v>2098.0117350798937</v>
      </c>
      <c r="E32" s="23">
        <f t="shared" si="1"/>
        <v>207.97197816970129</v>
      </c>
      <c r="F32" s="59">
        <f t="shared" si="4"/>
        <v>9.0187964890969211E-2</v>
      </c>
      <c r="I32" s="7" t="s">
        <v>552</v>
      </c>
      <c r="J32" s="4">
        <v>7496.1527064681932</v>
      </c>
      <c r="K32" s="4">
        <v>3880.072180062974</v>
      </c>
      <c r="L32" s="23">
        <f t="shared" si="2"/>
        <v>3616.0805264052192</v>
      </c>
      <c r="M32" s="59">
        <f t="shared" si="3"/>
        <v>0.48239152375925021</v>
      </c>
    </row>
    <row r="33" spans="2:13">
      <c r="B33" s="7" t="s">
        <v>468</v>
      </c>
      <c r="C33" s="4">
        <v>664.06542782482722</v>
      </c>
      <c r="D33" s="4">
        <v>604.17471833485524</v>
      </c>
      <c r="E33" s="23">
        <f t="shared" si="1"/>
        <v>59.890709489971982</v>
      </c>
      <c r="F33" s="59">
        <f t="shared" si="4"/>
        <v>9.0187964890969238E-2</v>
      </c>
      <c r="I33" s="7" t="s">
        <v>560</v>
      </c>
      <c r="J33" s="4">
        <v>6946.8901884923525</v>
      </c>
      <c r="K33" s="4">
        <v>3595.769245077342</v>
      </c>
      <c r="L33" s="23">
        <f t="shared" si="2"/>
        <v>3351.1209434150105</v>
      </c>
      <c r="M33" s="59">
        <f t="shared" si="3"/>
        <v>0.48239152375925015</v>
      </c>
    </row>
    <row r="34" spans="2:13">
      <c r="B34" s="7" t="s">
        <v>475</v>
      </c>
      <c r="C34" s="4">
        <v>4830.2816884179165</v>
      </c>
      <c r="D34" s="4">
        <v>4394.6484130893896</v>
      </c>
      <c r="E34" s="23">
        <f t="shared" si="1"/>
        <v>435.63327532852691</v>
      </c>
      <c r="F34" s="59">
        <f t="shared" si="4"/>
        <v>9.0187964890969294E-2</v>
      </c>
      <c r="I34" s="7" t="s">
        <v>562</v>
      </c>
      <c r="J34" s="4">
        <v>8825.1972447827884</v>
      </c>
      <c r="K34" s="4">
        <v>4567.9968983960825</v>
      </c>
      <c r="L34" s="23">
        <f t="shared" si="2"/>
        <v>4257.2003463867059</v>
      </c>
      <c r="M34" s="59">
        <f t="shared" si="3"/>
        <v>0.48239152375925021</v>
      </c>
    </row>
    <row r="35" spans="2:13">
      <c r="B35" s="7" t="s">
        <v>482</v>
      </c>
      <c r="C35" s="4">
        <v>1849.3011055543359</v>
      </c>
      <c r="D35" s="4">
        <v>1682.5164023737709</v>
      </c>
      <c r="E35" s="23">
        <f t="shared" si="1"/>
        <v>166.78470318056497</v>
      </c>
      <c r="F35" s="59">
        <f t="shared" si="4"/>
        <v>9.0187964890969197E-2</v>
      </c>
      <c r="I35" s="7" t="s">
        <v>568</v>
      </c>
      <c r="J35" s="4">
        <v>8009.272043209352</v>
      </c>
      <c r="K35" s="4">
        <v>4145.6670980832296</v>
      </c>
      <c r="L35" s="23">
        <f t="shared" si="2"/>
        <v>3863.6049451261224</v>
      </c>
      <c r="M35" s="59">
        <f t="shared" si="3"/>
        <v>0.48239152375925021</v>
      </c>
    </row>
    <row r="36" spans="2:13">
      <c r="B36" s="7" t="s">
        <v>487</v>
      </c>
      <c r="C36" s="4">
        <v>2658.385084884253</v>
      </c>
      <c r="D36" s="4">
        <v>2418.6307441820359</v>
      </c>
      <c r="E36" s="23">
        <f t="shared" si="1"/>
        <v>239.75434070221718</v>
      </c>
      <c r="F36" s="59">
        <f t="shared" si="4"/>
        <v>9.0187964890969197E-2</v>
      </c>
      <c r="I36" s="7" t="s">
        <v>576</v>
      </c>
      <c r="J36" s="4">
        <v>5449.8652350299653</v>
      </c>
      <c r="K36" s="4">
        <v>2820.8964400212963</v>
      </c>
      <c r="L36" s="23">
        <f t="shared" si="2"/>
        <v>2628.9687950086691</v>
      </c>
      <c r="M36" s="59">
        <f t="shared" si="3"/>
        <v>0.48239152375925015</v>
      </c>
    </row>
    <row r="37" spans="2:13">
      <c r="B37" s="7" t="s">
        <v>488</v>
      </c>
      <c r="C37" s="4">
        <v>3021.3246809775242</v>
      </c>
      <c r="D37" s="4">
        <v>2748.8375567253042</v>
      </c>
      <c r="E37" s="23">
        <f t="shared" si="1"/>
        <v>272.48712425221993</v>
      </c>
      <c r="F37" s="59">
        <f t="shared" si="4"/>
        <v>9.018796489096928E-2</v>
      </c>
      <c r="I37" s="7" t="s">
        <v>584</v>
      </c>
      <c r="J37" s="4">
        <v>5945.8379050830181</v>
      </c>
      <c r="K37" s="4">
        <v>3077.6160980245131</v>
      </c>
      <c r="L37" s="23">
        <f t="shared" si="2"/>
        <v>2868.221807058505</v>
      </c>
      <c r="M37" s="59">
        <f t="shared" si="3"/>
        <v>0.48239152375925015</v>
      </c>
    </row>
    <row r="38" spans="2:13">
      <c r="B38" s="7" t="s">
        <v>494</v>
      </c>
      <c r="C38" s="4">
        <v>18876.501431069864</v>
      </c>
      <c r="D38" s="4">
        <v>17174.068182740204</v>
      </c>
      <c r="E38" s="23">
        <f t="shared" si="1"/>
        <v>1702.4332483296603</v>
      </c>
      <c r="F38" s="59">
        <f t="shared" si="4"/>
        <v>9.018796489096928E-2</v>
      </c>
      <c r="I38" s="7" t="s">
        <v>598</v>
      </c>
      <c r="J38" s="4">
        <v>27652.094972333922</v>
      </c>
      <c r="K38" s="4">
        <v>14312.95874349426</v>
      </c>
      <c r="L38" s="23">
        <f t="shared" si="2"/>
        <v>13339.136228839661</v>
      </c>
      <c r="M38" s="59">
        <f t="shared" si="3"/>
        <v>0.48239152375925015</v>
      </c>
    </row>
    <row r="39" spans="2:13">
      <c r="B39" s="7" t="s">
        <v>502</v>
      </c>
      <c r="C39" s="4">
        <v>3003.079396840224</v>
      </c>
      <c r="D39" s="4">
        <v>2732.237777633205</v>
      </c>
      <c r="E39" s="23">
        <f t="shared" si="1"/>
        <v>270.84161920701899</v>
      </c>
      <c r="F39" s="59">
        <f t="shared" si="4"/>
        <v>9.0187964890969169E-2</v>
      </c>
      <c r="I39" s="7" t="s">
        <v>600</v>
      </c>
      <c r="J39" s="4">
        <v>35584.669477411415</v>
      </c>
      <c r="K39" s="4">
        <v>18418.926545733641</v>
      </c>
      <c r="L39" s="23">
        <f t="shared" si="2"/>
        <v>17165.742931677774</v>
      </c>
      <c r="M39" s="59">
        <f t="shared" si="3"/>
        <v>0.48239152375925021</v>
      </c>
    </row>
    <row r="40" spans="2:13">
      <c r="B40" s="7" t="s">
        <v>508</v>
      </c>
      <c r="C40" s="4">
        <v>1645.2213110013481</v>
      </c>
      <c r="D40" s="4">
        <v>1496.8421491668842</v>
      </c>
      <c r="E40" s="23">
        <f t="shared" si="1"/>
        <v>148.37916183446396</v>
      </c>
      <c r="F40" s="59">
        <f t="shared" si="4"/>
        <v>9.0187964890969238E-2</v>
      </c>
      <c r="I40" s="7" t="s">
        <v>604</v>
      </c>
      <c r="J40" s="4">
        <v>7104.1272564621195</v>
      </c>
      <c r="K40" s="4">
        <v>3677.1564842377365</v>
      </c>
      <c r="L40" s="23">
        <f t="shared" si="2"/>
        <v>3426.9707722243829</v>
      </c>
      <c r="M40" s="59">
        <f t="shared" si="3"/>
        <v>0.48239152375925015</v>
      </c>
    </row>
    <row r="41" spans="2:13">
      <c r="B41" s="7" t="s">
        <v>512</v>
      </c>
      <c r="C41" s="4">
        <v>4877.0745507528018</v>
      </c>
      <c r="D41" s="4">
        <v>4437.2211223988679</v>
      </c>
      <c r="E41" s="23">
        <f t="shared" si="1"/>
        <v>439.85342835393385</v>
      </c>
      <c r="F41" s="59">
        <f t="shared" si="4"/>
        <v>9.0187964890969363E-2</v>
      </c>
    </row>
    <row r="42" spans="2:13">
      <c r="B42" s="7" t="s">
        <v>516</v>
      </c>
      <c r="C42" s="4">
        <v>4895.0839044917739</v>
      </c>
      <c r="D42" s="4">
        <v>4453.6062491751218</v>
      </c>
      <c r="E42" s="23">
        <f t="shared" si="1"/>
        <v>441.47765531665209</v>
      </c>
      <c r="F42" s="59">
        <f t="shared" si="4"/>
        <v>9.0187964890969113E-2</v>
      </c>
      <c r="L42" s="23">
        <f>AVERAGE(L4:L40)</f>
        <v>11644.708378900741</v>
      </c>
    </row>
    <row r="43" spans="2:13">
      <c r="B43" s="7" t="s">
        <v>519</v>
      </c>
      <c r="C43" s="4">
        <v>5793.9787221182278</v>
      </c>
      <c r="D43" s="4">
        <v>5271.4315725488059</v>
      </c>
      <c r="E43" s="23">
        <f t="shared" si="1"/>
        <v>522.54714956942189</v>
      </c>
      <c r="F43" s="59">
        <f t="shared" si="4"/>
        <v>9.0187964890969294E-2</v>
      </c>
    </row>
    <row r="44" spans="2:13">
      <c r="B44" s="7" t="s">
        <v>522</v>
      </c>
      <c r="C44" s="4">
        <v>4206.6390021731413</v>
      </c>
      <c r="D44" s="4">
        <v>3827.2507915361684</v>
      </c>
      <c r="E44" s="23">
        <f t="shared" si="1"/>
        <v>379.38821063697287</v>
      </c>
      <c r="F44" s="59">
        <f t="shared" si="4"/>
        <v>9.0187964890969169E-2</v>
      </c>
    </row>
    <row r="45" spans="2:13">
      <c r="B45" s="7" t="s">
        <v>526</v>
      </c>
      <c r="C45" s="4">
        <v>6815.2427730103655</v>
      </c>
      <c r="D45" s="4">
        <v>6200.5898970746748</v>
      </c>
      <c r="E45" s="23">
        <f t="shared" si="1"/>
        <v>614.65287593569064</v>
      </c>
      <c r="F45" s="59">
        <f t="shared" si="4"/>
        <v>9.0187964890969238E-2</v>
      </c>
    </row>
    <row r="46" spans="2:13">
      <c r="B46" s="7" t="s">
        <v>534</v>
      </c>
      <c r="C46" s="4">
        <v>13809.875431345274</v>
      </c>
      <c r="D46" s="4">
        <v>12564.390870794447</v>
      </c>
      <c r="E46" s="23">
        <f t="shared" si="1"/>
        <v>1245.4845605508272</v>
      </c>
      <c r="F46" s="59">
        <f t="shared" si="4"/>
        <v>9.0187964890969308E-2</v>
      </c>
    </row>
    <row r="47" spans="2:13">
      <c r="B47" s="7" t="s">
        <v>540</v>
      </c>
      <c r="C47" s="4">
        <v>4855.0543802422671</v>
      </c>
      <c r="D47" s="4">
        <v>4417.1869062532314</v>
      </c>
      <c r="E47" s="23">
        <f t="shared" si="1"/>
        <v>437.86747398903572</v>
      </c>
      <c r="F47" s="59">
        <f t="shared" si="4"/>
        <v>9.0187964890969183E-2</v>
      </c>
    </row>
    <row r="48" spans="2:13">
      <c r="B48" s="7" t="s">
        <v>546</v>
      </c>
      <c r="C48" s="4">
        <v>4881.2426544565824</v>
      </c>
      <c r="D48" s="4">
        <v>4441.0133133121508</v>
      </c>
      <c r="E48" s="23">
        <f t="shared" si="1"/>
        <v>440.2293411444316</v>
      </c>
      <c r="F48" s="59">
        <f t="shared" si="4"/>
        <v>9.0187964890969211E-2</v>
      </c>
    </row>
    <row r="49" spans="2:6">
      <c r="B49" s="7" t="s">
        <v>550</v>
      </c>
      <c r="C49" s="4">
        <v>3098.8671385610487</v>
      </c>
      <c r="D49" s="4">
        <v>2819.3866178667263</v>
      </c>
      <c r="E49" s="23">
        <f t="shared" si="1"/>
        <v>279.48052069432242</v>
      </c>
      <c r="F49" s="59">
        <f t="shared" si="4"/>
        <v>9.0187964890969322E-2</v>
      </c>
    </row>
    <row r="50" spans="2:6">
      <c r="B50" s="7" t="s">
        <v>552</v>
      </c>
      <c r="C50" s="4">
        <v>15972.59144499315</v>
      </c>
      <c r="D50" s="4">
        <v>14532.055928534312</v>
      </c>
      <c r="E50" s="23">
        <f t="shared" si="1"/>
        <v>1440.5355164588382</v>
      </c>
      <c r="F50" s="59">
        <f t="shared" si="4"/>
        <v>9.0187964890969266E-2</v>
      </c>
    </row>
    <row r="51" spans="2:6">
      <c r="B51" s="7" t="s">
        <v>560</v>
      </c>
      <c r="C51" s="4">
        <v>3071.4992123550978</v>
      </c>
      <c r="D51" s="4">
        <v>2794.4869492285766</v>
      </c>
      <c r="E51" s="23">
        <f t="shared" si="1"/>
        <v>277.01226312652125</v>
      </c>
      <c r="F51" s="59">
        <f t="shared" si="4"/>
        <v>9.0187964890969238E-2</v>
      </c>
    </row>
    <row r="52" spans="2:6">
      <c r="B52" s="7" t="s">
        <v>562</v>
      </c>
      <c r="C52" s="4">
        <v>7803.948428933355</v>
      </c>
      <c r="D52" s="4">
        <v>7100.1262020137792</v>
      </c>
      <c r="E52" s="23">
        <f t="shared" si="1"/>
        <v>703.82222691957577</v>
      </c>
      <c r="F52" s="59">
        <f t="shared" si="4"/>
        <v>9.0187964890969211E-2</v>
      </c>
    </row>
    <row r="53" spans="2:6">
      <c r="B53" s="7" t="s">
        <v>568</v>
      </c>
      <c r="C53" s="4">
        <v>6885.7073186440748</v>
      </c>
      <c r="D53" s="4">
        <v>6264.6993887407125</v>
      </c>
      <c r="E53" s="23">
        <f t="shared" si="1"/>
        <v>621.00792990336231</v>
      </c>
      <c r="F53" s="59">
        <f t="shared" si="4"/>
        <v>9.0187964890969322E-2</v>
      </c>
    </row>
    <row r="54" spans="2:6">
      <c r="B54" s="7" t="s">
        <v>576</v>
      </c>
      <c r="C54" s="4">
        <v>7795.7695084580155</v>
      </c>
      <c r="D54" s="4">
        <v>7092.6849217311155</v>
      </c>
      <c r="E54" s="23">
        <f t="shared" si="1"/>
        <v>703.08458672689994</v>
      </c>
      <c r="F54" s="59">
        <f t="shared" si="4"/>
        <v>9.0187964890969224E-2</v>
      </c>
    </row>
    <row r="55" spans="2:6">
      <c r="B55" s="7" t="s">
        <v>584</v>
      </c>
      <c r="C55" s="4">
        <v>7623.6189611453019</v>
      </c>
      <c r="D55" s="4">
        <v>6936.0602819354017</v>
      </c>
      <c r="E55" s="23">
        <f t="shared" si="1"/>
        <v>687.55867920990022</v>
      </c>
      <c r="F55" s="59">
        <f t="shared" si="4"/>
        <v>9.018796489096928E-2</v>
      </c>
    </row>
    <row r="56" spans="2:6">
      <c r="B56" s="7" t="s">
        <v>592</v>
      </c>
      <c r="C56" s="4">
        <v>0</v>
      </c>
      <c r="D56" s="4">
        <v>0</v>
      </c>
      <c r="E56" s="23">
        <f t="shared" si="1"/>
        <v>0</v>
      </c>
      <c r="F56" s="59" t="e">
        <f t="shared" si="4"/>
        <v>#DIV/0!</v>
      </c>
    </row>
    <row r="57" spans="2:6">
      <c r="B57" s="7" t="s">
        <v>594</v>
      </c>
      <c r="C57" s="4">
        <v>10</v>
      </c>
      <c r="D57" s="4">
        <v>10</v>
      </c>
      <c r="E57" s="23">
        <f t="shared" si="1"/>
        <v>0</v>
      </c>
      <c r="F57" s="59">
        <f t="shared" si="4"/>
        <v>0</v>
      </c>
    </row>
    <row r="58" spans="2:6">
      <c r="B58" s="7" t="s">
        <v>598</v>
      </c>
      <c r="C58" s="4">
        <v>6447.1913516200057</v>
      </c>
      <c r="D58" s="4">
        <v>5865.7322843547399</v>
      </c>
      <c r="E58" s="23">
        <f t="shared" si="1"/>
        <v>581.45906726526573</v>
      </c>
      <c r="F58" s="59">
        <f t="shared" si="4"/>
        <v>9.0187964890969266E-2</v>
      </c>
    </row>
    <row r="59" spans="2:6">
      <c r="B59" s="7" t="s">
        <v>600</v>
      </c>
      <c r="C59" s="4">
        <v>3146.6823659553511</v>
      </c>
      <c r="D59" s="4">
        <v>2862.8894872115379</v>
      </c>
      <c r="E59" s="23">
        <f t="shared" si="1"/>
        <v>283.79287874381316</v>
      </c>
      <c r="F59" s="59">
        <f t="shared" si="4"/>
        <v>9.0187964890969224E-2</v>
      </c>
    </row>
    <row r="60" spans="2:6">
      <c r="B60" s="7" t="s">
        <v>604</v>
      </c>
      <c r="C60" s="4">
        <v>7852.5500909887487</v>
      </c>
      <c r="D60" s="4">
        <v>7144.3445790780779</v>
      </c>
      <c r="E60" s="23">
        <f t="shared" si="1"/>
        <v>708.20551191067079</v>
      </c>
      <c r="F60" s="59">
        <f t="shared" si="4"/>
        <v>9.0187964890969266E-2</v>
      </c>
    </row>
    <row r="61" spans="2:6">
      <c r="B61" s="7" t="s">
        <v>608</v>
      </c>
      <c r="C61" s="4">
        <v>8351.8740138342946</v>
      </c>
      <c r="D61" s="4">
        <v>7598.6354935008085</v>
      </c>
      <c r="E61" s="23">
        <f t="shared" si="1"/>
        <v>753.23852033348612</v>
      </c>
      <c r="F61" s="59">
        <f t="shared" si="4"/>
        <v>9.0187964890969294E-2</v>
      </c>
    </row>
    <row r="62" spans="2:6">
      <c r="B62" s="7" t="s">
        <v>614</v>
      </c>
      <c r="C62" s="4">
        <v>9555.9675669107946</v>
      </c>
      <c r="D62" s="4">
        <v>8694.1342994870029</v>
      </c>
      <c r="E62" s="23">
        <f t="shared" si="1"/>
        <v>861.83326742379177</v>
      </c>
      <c r="F62" s="59">
        <f>E62/C62</f>
        <v>9.0187964890969266E-2</v>
      </c>
    </row>
    <row r="65" spans="4:5">
      <c r="D65" t="s">
        <v>628</v>
      </c>
      <c r="E65" s="23">
        <f>AVERAGE(E5:E62)</f>
        <v>459.00706164048461</v>
      </c>
    </row>
  </sheetData>
  <conditionalFormatting sqref="B5:B62">
    <cfRule type="duplicateValues" dxfId="0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E97A-35D9-4CC4-A58D-D44F9CD02F7D}">
  <sheetPr>
    <pageSetUpPr fitToPage="1"/>
  </sheetPr>
  <dimension ref="A1:X52"/>
  <sheetViews>
    <sheetView topLeftCell="A14" zoomScaleNormal="100" workbookViewId="0">
      <pane xSplit="1" topLeftCell="B1" activePane="topRight" state="frozen"/>
      <selection pane="topRight" activeCell="W42" sqref="W42"/>
    </sheetView>
  </sheetViews>
  <sheetFormatPr defaultRowHeight="14.45"/>
  <cols>
    <col min="1" max="1" width="10.7109375" bestFit="1" customWidth="1"/>
    <col min="2" max="2" width="19.5703125" bestFit="1" customWidth="1"/>
    <col min="3" max="3" width="32.140625" bestFit="1" customWidth="1"/>
    <col min="4" max="4" width="26.85546875" customWidth="1"/>
    <col min="5" max="5" width="26.28515625" hidden="1" customWidth="1"/>
    <col min="6" max="6" width="10.7109375" hidden="1" customWidth="1"/>
    <col min="7" max="7" width="11.42578125" hidden="1" customWidth="1"/>
    <col min="8" max="8" width="11.28515625" hidden="1" customWidth="1"/>
    <col min="9" max="9" width="10.7109375" hidden="1" customWidth="1"/>
    <col min="10" max="10" width="0" hidden="1" customWidth="1"/>
    <col min="11" max="11" width="11.85546875" bestFit="1" customWidth="1"/>
    <col min="19" max="19" width="11.28515625" bestFit="1" customWidth="1"/>
    <col min="21" max="21" width="10.5703125" customWidth="1"/>
    <col min="22" max="22" width="13.28515625" bestFit="1" customWidth="1"/>
    <col min="23" max="23" width="13.85546875" bestFit="1" customWidth="1"/>
    <col min="24" max="24" width="13.85546875" customWidth="1"/>
  </cols>
  <sheetData>
    <row r="1" spans="1:24">
      <c r="A1" s="44" t="s">
        <v>10</v>
      </c>
    </row>
    <row r="2" spans="1:24" ht="43.5">
      <c r="A2" s="13" t="s">
        <v>186</v>
      </c>
      <c r="B2" s="13" t="s">
        <v>187</v>
      </c>
      <c r="C2" s="13" t="s">
        <v>188</v>
      </c>
      <c r="D2" s="13" t="s">
        <v>189</v>
      </c>
      <c r="E2" s="13" t="s">
        <v>190</v>
      </c>
      <c r="F2" s="13" t="s">
        <v>191</v>
      </c>
      <c r="G2" s="13" t="s">
        <v>192</v>
      </c>
      <c r="H2" s="13" t="s">
        <v>193</v>
      </c>
      <c r="I2" s="13" t="s">
        <v>194</v>
      </c>
      <c r="J2" s="13" t="s">
        <v>195</v>
      </c>
      <c r="K2" s="29" t="s">
        <v>629</v>
      </c>
      <c r="L2" s="28" t="s">
        <v>197</v>
      </c>
      <c r="M2" s="28" t="s">
        <v>198</v>
      </c>
      <c r="N2" s="28" t="s">
        <v>199</v>
      </c>
      <c r="O2" s="28" t="s">
        <v>200</v>
      </c>
      <c r="P2" s="28" t="s">
        <v>201</v>
      </c>
      <c r="Q2" s="29" t="s">
        <v>202</v>
      </c>
      <c r="R2" s="28" t="s">
        <v>203</v>
      </c>
      <c r="S2" s="28" t="s">
        <v>204</v>
      </c>
      <c r="T2" s="28" t="s">
        <v>205</v>
      </c>
      <c r="U2" s="28" t="s">
        <v>206</v>
      </c>
      <c r="V2" s="29" t="s">
        <v>317</v>
      </c>
      <c r="W2" s="29" t="s">
        <v>207</v>
      </c>
      <c r="X2" s="29" t="s">
        <v>208</v>
      </c>
    </row>
    <row r="3" spans="1:24">
      <c r="A3" s="9" t="s">
        <v>630</v>
      </c>
      <c r="B3" s="12" t="s">
        <v>631</v>
      </c>
      <c r="C3" s="12" t="s">
        <v>632</v>
      </c>
      <c r="D3" s="9"/>
      <c r="E3" s="9"/>
      <c r="F3" s="9"/>
      <c r="G3" s="9"/>
      <c r="H3" s="9"/>
      <c r="I3" s="9"/>
      <c r="J3" s="9"/>
      <c r="K3" s="26">
        <f>163220.863904/43560</f>
        <v>3.7470354431588615</v>
      </c>
      <c r="L3" s="1">
        <v>0</v>
      </c>
      <c r="M3" s="1">
        <v>0</v>
      </c>
      <c r="N3" s="1">
        <v>0</v>
      </c>
      <c r="O3" s="1">
        <f>K3</f>
        <v>3.7470354431588615</v>
      </c>
      <c r="P3" s="1">
        <v>0</v>
      </c>
      <c r="Q3" s="1">
        <f>(L3*5+M3*80+N3*5+O3*100+P3*2)</f>
        <v>374.70354431588618</v>
      </c>
      <c r="R3" s="47">
        <v>0.62</v>
      </c>
      <c r="S3" s="1">
        <v>1</v>
      </c>
      <c r="T3" s="1">
        <f>Q3*R3*S3</f>
        <v>232.31619747584944</v>
      </c>
      <c r="U3" s="30">
        <f t="shared" ref="U3:U41" si="0">T3/T$50</f>
        <v>0.23576395593686406</v>
      </c>
      <c r="V3" s="46">
        <f>'Work in ROW'!J40</f>
        <v>574690</v>
      </c>
      <c r="W3" s="8">
        <f>U3*W$42</f>
        <v>355926.86834053043</v>
      </c>
      <c r="X3" s="8">
        <f>IF(W3&lt;10,10,W3)+V3</f>
        <v>930616.86834053043</v>
      </c>
    </row>
    <row r="4" spans="1:24">
      <c r="A4" s="14" t="s">
        <v>633</v>
      </c>
      <c r="B4" s="14" t="s">
        <v>218</v>
      </c>
      <c r="C4" s="14" t="s">
        <v>634</v>
      </c>
      <c r="D4" s="14"/>
      <c r="E4" s="14" t="s">
        <v>635</v>
      </c>
      <c r="F4" s="14" t="s">
        <v>636</v>
      </c>
      <c r="G4" s="14" t="s">
        <v>634</v>
      </c>
      <c r="H4" s="14"/>
      <c r="I4" s="14" t="s">
        <v>637</v>
      </c>
      <c r="J4" s="14" t="s">
        <v>638</v>
      </c>
      <c r="K4" s="1">
        <v>16.766999999999999</v>
      </c>
      <c r="L4" s="1">
        <v>16.766999999999999</v>
      </c>
      <c r="M4" s="1">
        <v>0</v>
      </c>
      <c r="N4" s="1">
        <v>0</v>
      </c>
      <c r="O4" s="1">
        <v>0</v>
      </c>
      <c r="P4" s="1">
        <v>0</v>
      </c>
      <c r="Q4" s="1">
        <f t="shared" ref="Q4:Q41" si="1">(L4*5+M4*80+N4*5+O4*100+P4*2)</f>
        <v>83.834999999999994</v>
      </c>
      <c r="R4" s="47">
        <v>0.62</v>
      </c>
      <c r="S4" s="1">
        <v>1</v>
      </c>
      <c r="T4" s="1">
        <f t="shared" ref="T4:T41" si="2">Q4*R4*S4</f>
        <v>51.977699999999999</v>
      </c>
      <c r="U4" s="30">
        <f t="shared" si="0"/>
        <v>5.2749090703300867E-2</v>
      </c>
      <c r="V4" s="8">
        <v>0</v>
      </c>
      <c r="W4" s="8">
        <f t="shared" ref="W4:W41" si="3">U4*W$42</f>
        <v>79633.965197225611</v>
      </c>
      <c r="X4" s="8">
        <f t="shared" ref="X4:X41" si="4">IF(W4&lt;10,10,W4)</f>
        <v>79633.965197225611</v>
      </c>
    </row>
    <row r="5" spans="1:24">
      <c r="A5" s="14" t="s">
        <v>327</v>
      </c>
      <c r="B5" s="14" t="s">
        <v>328</v>
      </c>
      <c r="C5" s="14" t="s">
        <v>329</v>
      </c>
      <c r="D5" s="14" t="s">
        <v>330</v>
      </c>
      <c r="E5" s="14" t="s">
        <v>328</v>
      </c>
      <c r="F5" s="14" t="s">
        <v>213</v>
      </c>
      <c r="G5" s="14" t="s">
        <v>331</v>
      </c>
      <c r="H5" s="14" t="s">
        <v>332</v>
      </c>
      <c r="I5" s="14" t="s">
        <v>333</v>
      </c>
      <c r="J5" s="14" t="s">
        <v>334</v>
      </c>
      <c r="K5" s="1">
        <v>0.187</v>
      </c>
      <c r="L5" s="1">
        <v>0</v>
      </c>
      <c r="M5" s="1">
        <v>0</v>
      </c>
      <c r="N5" s="1">
        <v>0.187</v>
      </c>
      <c r="O5" s="1">
        <v>0</v>
      </c>
      <c r="P5" s="1">
        <v>0</v>
      </c>
      <c r="Q5" s="1">
        <f t="shared" si="1"/>
        <v>0.93500000000000005</v>
      </c>
      <c r="R5" s="47">
        <v>0.01</v>
      </c>
      <c r="S5" s="1">
        <v>1</v>
      </c>
      <c r="T5" s="1">
        <f t="shared" si="2"/>
        <v>9.3500000000000007E-3</v>
      </c>
      <c r="U5" s="30">
        <f t="shared" si="0"/>
        <v>9.4887614895592375E-6</v>
      </c>
      <c r="V5" s="8">
        <v>0</v>
      </c>
      <c r="W5" s="8">
        <f t="shared" si="3"/>
        <v>14.324942708008619</v>
      </c>
      <c r="X5" s="8">
        <f t="shared" si="4"/>
        <v>14.324942708008619</v>
      </c>
    </row>
    <row r="6" spans="1:24">
      <c r="A6" s="14" t="s">
        <v>355</v>
      </c>
      <c r="B6" s="14" t="s">
        <v>356</v>
      </c>
      <c r="C6" s="14" t="s">
        <v>357</v>
      </c>
      <c r="D6" s="14"/>
      <c r="E6" s="14" t="s">
        <v>358</v>
      </c>
      <c r="F6" s="14" t="s">
        <v>359</v>
      </c>
      <c r="G6" s="14" t="s">
        <v>360</v>
      </c>
      <c r="H6" s="14"/>
      <c r="I6" s="14" t="s">
        <v>361</v>
      </c>
      <c r="J6" s="14" t="s">
        <v>362</v>
      </c>
      <c r="K6" s="1">
        <v>1.224</v>
      </c>
      <c r="L6" s="1">
        <v>0</v>
      </c>
      <c r="M6" s="1">
        <v>0.5</v>
      </c>
      <c r="N6" s="1">
        <f>K6-0.5</f>
        <v>0.72399999999999998</v>
      </c>
      <c r="O6" s="1">
        <v>0</v>
      </c>
      <c r="P6" s="1">
        <v>0</v>
      </c>
      <c r="Q6" s="1">
        <f t="shared" si="1"/>
        <v>43.62</v>
      </c>
      <c r="R6" s="47">
        <v>0.62</v>
      </c>
      <c r="S6" s="1">
        <v>1</v>
      </c>
      <c r="T6" s="1">
        <f t="shared" si="2"/>
        <v>27.0444</v>
      </c>
      <c r="U6" s="30">
        <f t="shared" si="0"/>
        <v>2.7445760559169606E-2</v>
      </c>
      <c r="V6" s="8">
        <v>0</v>
      </c>
      <c r="W6" s="8">
        <f t="shared" si="3"/>
        <v>41434.169045183771</v>
      </c>
      <c r="X6" s="8">
        <f t="shared" si="4"/>
        <v>41434.169045183771</v>
      </c>
    </row>
    <row r="7" spans="1:24">
      <c r="A7" s="14" t="s">
        <v>639</v>
      </c>
      <c r="B7" s="14" t="s">
        <v>640</v>
      </c>
      <c r="C7" s="14" t="s">
        <v>641</v>
      </c>
      <c r="D7" s="14" t="s">
        <v>642</v>
      </c>
      <c r="E7" s="14" t="s">
        <v>640</v>
      </c>
      <c r="F7" s="14" t="s">
        <v>213</v>
      </c>
      <c r="G7" s="14" t="s">
        <v>243</v>
      </c>
      <c r="H7" s="14"/>
      <c r="I7" s="14" t="s">
        <v>244</v>
      </c>
      <c r="J7" s="14" t="s">
        <v>245</v>
      </c>
      <c r="K7" s="1">
        <v>5.2729999999999997</v>
      </c>
      <c r="L7" s="1">
        <v>0</v>
      </c>
      <c r="M7" s="1">
        <v>0.5</v>
      </c>
      <c r="N7" s="1">
        <f>K7-0.5</f>
        <v>4.7729999999999997</v>
      </c>
      <c r="O7" s="1">
        <v>0</v>
      </c>
      <c r="P7" s="1">
        <v>0</v>
      </c>
      <c r="Q7" s="1">
        <f t="shared" si="1"/>
        <v>63.864999999999995</v>
      </c>
      <c r="R7" s="47">
        <v>0.8</v>
      </c>
      <c r="S7" s="1">
        <v>1</v>
      </c>
      <c r="T7" s="1">
        <f t="shared" si="2"/>
        <v>51.091999999999999</v>
      </c>
      <c r="U7" s="30">
        <f t="shared" si="0"/>
        <v>5.1850246205835351E-2</v>
      </c>
      <c r="V7" s="8">
        <v>0</v>
      </c>
      <c r="W7" s="8">
        <f t="shared" si="3"/>
        <v>78277.002442521523</v>
      </c>
      <c r="X7" s="8">
        <f t="shared" si="4"/>
        <v>78277.002442521523</v>
      </c>
    </row>
    <row r="8" spans="1:24">
      <c r="A8" s="14" t="s">
        <v>643</v>
      </c>
      <c r="B8" s="14" t="s">
        <v>644</v>
      </c>
      <c r="C8" s="14" t="s">
        <v>645</v>
      </c>
      <c r="D8" s="14" t="s">
        <v>646</v>
      </c>
      <c r="E8" s="14" t="s">
        <v>644</v>
      </c>
      <c r="F8" s="14" t="s">
        <v>647</v>
      </c>
      <c r="G8" s="14" t="s">
        <v>648</v>
      </c>
      <c r="H8" s="14" t="s">
        <v>649</v>
      </c>
      <c r="I8" s="14" t="s">
        <v>650</v>
      </c>
      <c r="J8" s="14" t="s">
        <v>651</v>
      </c>
      <c r="K8" s="1">
        <v>3.3090000000000002</v>
      </c>
      <c r="L8" s="1">
        <v>2.08</v>
      </c>
      <c r="M8" s="1">
        <v>0.5</v>
      </c>
      <c r="N8" s="1">
        <f>K8-L8-M8</f>
        <v>0.72900000000000009</v>
      </c>
      <c r="O8" s="1">
        <v>0</v>
      </c>
      <c r="P8" s="1">
        <v>0</v>
      </c>
      <c r="Q8" s="1">
        <f t="shared" si="1"/>
        <v>54.045000000000002</v>
      </c>
      <c r="R8" s="47">
        <v>0.28999999999999998</v>
      </c>
      <c r="S8" s="1">
        <v>1</v>
      </c>
      <c r="T8" s="1">
        <f t="shared" si="2"/>
        <v>15.67305</v>
      </c>
      <c r="U8" s="30">
        <f t="shared" si="0"/>
        <v>1.5905650616463787E-2</v>
      </c>
      <c r="V8" s="8">
        <v>0</v>
      </c>
      <c r="W8" s="8">
        <f t="shared" si="3"/>
        <v>24012.357573235771</v>
      </c>
      <c r="X8" s="8">
        <f t="shared" si="4"/>
        <v>24012.357573235771</v>
      </c>
    </row>
    <row r="9" spans="1:24">
      <c r="A9" s="14" t="s">
        <v>652</v>
      </c>
      <c r="B9" s="14" t="s">
        <v>653</v>
      </c>
      <c r="C9" s="14" t="s">
        <v>654</v>
      </c>
      <c r="D9" s="14" t="s">
        <v>655</v>
      </c>
      <c r="E9" s="14" t="s">
        <v>653</v>
      </c>
      <c r="F9" s="14" t="s">
        <v>213</v>
      </c>
      <c r="G9" s="14" t="s">
        <v>656</v>
      </c>
      <c r="H9" s="14" t="s">
        <v>657</v>
      </c>
      <c r="I9" s="14" t="s">
        <v>658</v>
      </c>
      <c r="J9" s="14" t="s">
        <v>651</v>
      </c>
      <c r="K9" s="1">
        <v>0.109</v>
      </c>
      <c r="L9" s="1">
        <v>0</v>
      </c>
      <c r="M9" s="1">
        <v>0</v>
      </c>
      <c r="N9" s="1">
        <v>0</v>
      </c>
      <c r="O9" s="1">
        <v>0</v>
      </c>
      <c r="P9" s="1">
        <v>0.109</v>
      </c>
      <c r="Q9" s="1">
        <f t="shared" si="1"/>
        <v>0.218</v>
      </c>
      <c r="R9" s="47">
        <v>0.32</v>
      </c>
      <c r="S9" s="1">
        <v>1</v>
      </c>
      <c r="T9" s="1">
        <f t="shared" si="2"/>
        <v>6.9760000000000003E-2</v>
      </c>
      <c r="U9" s="30">
        <f t="shared" si="0"/>
        <v>7.0795294279321115E-5</v>
      </c>
      <c r="V9" s="8">
        <v>0</v>
      </c>
      <c r="W9" s="8">
        <f t="shared" si="3"/>
        <v>106.8778613166504</v>
      </c>
      <c r="X9" s="8">
        <f t="shared" si="4"/>
        <v>106.8778613166504</v>
      </c>
    </row>
    <row r="10" spans="1:24">
      <c r="A10" s="14" t="s">
        <v>376</v>
      </c>
      <c r="B10" s="14" t="s">
        <v>377</v>
      </c>
      <c r="C10" s="14" t="s">
        <v>378</v>
      </c>
      <c r="D10" s="14" t="s">
        <v>379</v>
      </c>
      <c r="E10" s="14" t="s">
        <v>377</v>
      </c>
      <c r="F10" s="14" t="s">
        <v>380</v>
      </c>
      <c r="G10" s="14" t="s">
        <v>381</v>
      </c>
      <c r="H10" s="14" t="s">
        <v>382</v>
      </c>
      <c r="I10" s="14" t="s">
        <v>383</v>
      </c>
      <c r="J10" s="14" t="s">
        <v>384</v>
      </c>
      <c r="K10" s="1">
        <v>0.47699999999999998</v>
      </c>
      <c r="L10" s="1">
        <v>0.47699999999999998</v>
      </c>
      <c r="M10" s="1">
        <v>0</v>
      </c>
      <c r="N10" s="1">
        <v>0</v>
      </c>
      <c r="O10" s="1">
        <v>0</v>
      </c>
      <c r="P10" s="1">
        <v>0</v>
      </c>
      <c r="Q10" s="1">
        <f t="shared" si="1"/>
        <v>2.3849999999999998</v>
      </c>
      <c r="R10" s="47">
        <v>0.15</v>
      </c>
      <c r="S10" s="1">
        <v>1</v>
      </c>
      <c r="T10" s="1">
        <f t="shared" si="2"/>
        <v>0.35774999999999996</v>
      </c>
      <c r="U10" s="30">
        <f t="shared" si="0"/>
        <v>3.6305929656575578E-4</v>
      </c>
      <c r="V10" s="8">
        <v>0</v>
      </c>
      <c r="W10" s="8">
        <f t="shared" si="3"/>
        <v>548.10141751765582</v>
      </c>
      <c r="X10" s="8">
        <f t="shared" si="4"/>
        <v>548.10141751765582</v>
      </c>
    </row>
    <row r="11" spans="1:24">
      <c r="A11" s="14" t="s">
        <v>400</v>
      </c>
      <c r="B11" s="14" t="s">
        <v>401</v>
      </c>
      <c r="C11" s="14" t="s">
        <v>402</v>
      </c>
      <c r="D11" s="14"/>
      <c r="E11" s="14" t="s">
        <v>401</v>
      </c>
      <c r="F11" s="14" t="s">
        <v>213</v>
      </c>
      <c r="G11" s="14" t="s">
        <v>214</v>
      </c>
      <c r="H11" s="14"/>
      <c r="I11" s="14" t="s">
        <v>215</v>
      </c>
      <c r="J11" s="14" t="s">
        <v>216</v>
      </c>
      <c r="K11" s="1">
        <v>0.46200000000000002</v>
      </c>
      <c r="L11" s="1">
        <v>0.46200000000000002</v>
      </c>
      <c r="M11" s="1">
        <v>0</v>
      </c>
      <c r="N11" s="1">
        <v>0</v>
      </c>
      <c r="O11" s="1">
        <v>0</v>
      </c>
      <c r="P11" s="1">
        <v>0</v>
      </c>
      <c r="Q11" s="1">
        <f t="shared" si="1"/>
        <v>2.31</v>
      </c>
      <c r="R11" s="47">
        <v>0.09</v>
      </c>
      <c r="S11" s="1">
        <v>1</v>
      </c>
      <c r="T11" s="1">
        <f t="shared" si="2"/>
        <v>0.2079</v>
      </c>
      <c r="U11" s="30">
        <f t="shared" si="0"/>
        <v>2.1098540253255244E-4</v>
      </c>
      <c r="V11" s="8">
        <v>0</v>
      </c>
      <c r="W11" s="8">
        <f t="shared" si="3"/>
        <v>318.51931433101515</v>
      </c>
      <c r="X11" s="8">
        <f t="shared" si="4"/>
        <v>318.51931433101515</v>
      </c>
    </row>
    <row r="12" spans="1:24">
      <c r="A12" s="14" t="s">
        <v>407</v>
      </c>
      <c r="B12" s="14" t="s">
        <v>408</v>
      </c>
      <c r="C12" s="14" t="s">
        <v>409</v>
      </c>
      <c r="D12" s="14" t="s">
        <v>410</v>
      </c>
      <c r="E12" s="14" t="s">
        <v>408</v>
      </c>
      <c r="F12" s="14" t="s">
        <v>213</v>
      </c>
      <c r="G12" s="14" t="s">
        <v>411</v>
      </c>
      <c r="H12" s="14"/>
      <c r="I12" s="14" t="s">
        <v>412</v>
      </c>
      <c r="J12" s="14" t="s">
        <v>384</v>
      </c>
      <c r="K12" s="1">
        <v>0.48199999999999998</v>
      </c>
      <c r="L12" s="1">
        <v>0</v>
      </c>
      <c r="M12" s="1">
        <v>0</v>
      </c>
      <c r="N12" s="1">
        <v>0</v>
      </c>
      <c r="O12" s="1">
        <v>0</v>
      </c>
      <c r="P12" s="1">
        <v>0.48199999999999998</v>
      </c>
      <c r="Q12" s="1">
        <f t="shared" si="1"/>
        <v>0.96399999999999997</v>
      </c>
      <c r="R12" s="47">
        <v>0.2</v>
      </c>
      <c r="S12" s="1">
        <v>1</v>
      </c>
      <c r="T12" s="1">
        <f t="shared" si="2"/>
        <v>0.1928</v>
      </c>
      <c r="U12" s="30">
        <f t="shared" si="0"/>
        <v>1.9566130643711453E-4</v>
      </c>
      <c r="V12" s="8">
        <v>0</v>
      </c>
      <c r="W12" s="8">
        <f t="shared" si="3"/>
        <v>295.38491487743971</v>
      </c>
      <c r="X12" s="8">
        <f t="shared" si="4"/>
        <v>295.38491487743971</v>
      </c>
    </row>
    <row r="13" spans="1:24">
      <c r="A13" s="14" t="s">
        <v>413</v>
      </c>
      <c r="B13" s="14" t="s">
        <v>414</v>
      </c>
      <c r="C13" s="14" t="s">
        <v>415</v>
      </c>
      <c r="D13" s="14" t="s">
        <v>416</v>
      </c>
      <c r="E13" s="14" t="s">
        <v>414</v>
      </c>
      <c r="F13" s="14" t="s">
        <v>213</v>
      </c>
      <c r="G13" s="14" t="s">
        <v>214</v>
      </c>
      <c r="H13" s="14"/>
      <c r="I13" s="14" t="s">
        <v>215</v>
      </c>
      <c r="J13" s="14" t="s">
        <v>216</v>
      </c>
      <c r="K13" s="1">
        <v>0.40400000000000003</v>
      </c>
      <c r="L13" s="1">
        <v>0.40400000000000003</v>
      </c>
      <c r="M13" s="1">
        <v>0</v>
      </c>
      <c r="N13" s="1">
        <v>0</v>
      </c>
      <c r="O13" s="1">
        <v>0</v>
      </c>
      <c r="P13" s="1">
        <v>0</v>
      </c>
      <c r="Q13" s="1">
        <f t="shared" si="1"/>
        <v>2.02</v>
      </c>
      <c r="R13" s="47">
        <v>0.06</v>
      </c>
      <c r="S13" s="1">
        <v>1</v>
      </c>
      <c r="T13" s="1">
        <f t="shared" si="2"/>
        <v>0.1212</v>
      </c>
      <c r="U13" s="30">
        <f t="shared" si="0"/>
        <v>1.2299870508391224E-4</v>
      </c>
      <c r="V13" s="8">
        <v>0</v>
      </c>
      <c r="W13" s="8">
        <f t="shared" si="3"/>
        <v>185.68802740220795</v>
      </c>
      <c r="X13" s="8">
        <f t="shared" si="4"/>
        <v>185.68802740220795</v>
      </c>
    </row>
    <row r="14" spans="1:24">
      <c r="A14" s="14" t="s">
        <v>230</v>
      </c>
      <c r="B14" s="14" t="s">
        <v>231</v>
      </c>
      <c r="C14" s="14" t="s">
        <v>232</v>
      </c>
      <c r="D14" s="14" t="s">
        <v>233</v>
      </c>
      <c r="E14" s="14" t="s">
        <v>231</v>
      </c>
      <c r="F14" s="14" t="s">
        <v>234</v>
      </c>
      <c r="G14" s="14" t="s">
        <v>235</v>
      </c>
      <c r="H14" s="14"/>
      <c r="I14" s="14" t="s">
        <v>236</v>
      </c>
      <c r="J14" s="14" t="s">
        <v>237</v>
      </c>
      <c r="K14" s="1">
        <v>4.3639999999999999</v>
      </c>
      <c r="L14" s="1">
        <v>0</v>
      </c>
      <c r="M14" s="1">
        <v>0</v>
      </c>
      <c r="N14" s="1">
        <v>0</v>
      </c>
      <c r="O14" s="1">
        <v>0</v>
      </c>
      <c r="P14" s="1">
        <v>4.3639999999999999</v>
      </c>
      <c r="Q14" s="1">
        <f t="shared" si="1"/>
        <v>8.7279999999999998</v>
      </c>
      <c r="R14" s="47">
        <v>0.15</v>
      </c>
      <c r="S14" s="1">
        <v>1</v>
      </c>
      <c r="T14" s="1">
        <f t="shared" si="2"/>
        <v>1.3091999999999999</v>
      </c>
      <c r="U14" s="30">
        <f t="shared" si="0"/>
        <v>1.3286295766984976E-3</v>
      </c>
      <c r="V14" s="8">
        <v>0</v>
      </c>
      <c r="W14" s="8">
        <f t="shared" si="3"/>
        <v>2005.7983950080086</v>
      </c>
      <c r="X14" s="8">
        <f t="shared" si="4"/>
        <v>2005.7983950080086</v>
      </c>
    </row>
    <row r="15" spans="1:24">
      <c r="A15" s="14" t="s">
        <v>417</v>
      </c>
      <c r="B15" s="14" t="s">
        <v>418</v>
      </c>
      <c r="C15" s="14" t="s">
        <v>419</v>
      </c>
      <c r="D15" s="14" t="s">
        <v>420</v>
      </c>
      <c r="E15" s="14" t="s">
        <v>418</v>
      </c>
      <c r="F15" s="14" t="s">
        <v>380</v>
      </c>
      <c r="G15" s="14" t="s">
        <v>421</v>
      </c>
      <c r="H15" s="14"/>
      <c r="I15" s="14" t="s">
        <v>422</v>
      </c>
      <c r="J15" s="14" t="s">
        <v>384</v>
      </c>
      <c r="K15" s="1">
        <v>0.47099999999999997</v>
      </c>
      <c r="L15" s="1">
        <v>0</v>
      </c>
      <c r="M15" s="1">
        <v>0</v>
      </c>
      <c r="N15" s="1">
        <v>0.47099999999999997</v>
      </c>
      <c r="O15" s="1">
        <v>0</v>
      </c>
      <c r="P15" s="1">
        <v>0</v>
      </c>
      <c r="Q15" s="1">
        <f t="shared" si="1"/>
        <v>2.355</v>
      </c>
      <c r="R15" s="47">
        <v>0.13</v>
      </c>
      <c r="S15" s="1">
        <v>1</v>
      </c>
      <c r="T15" s="1">
        <f t="shared" si="2"/>
        <v>0.30615000000000003</v>
      </c>
      <c r="U15" s="30">
        <f t="shared" si="0"/>
        <v>3.1069351123300115E-4</v>
      </c>
      <c r="V15" s="8">
        <v>0</v>
      </c>
      <c r="W15" s="8">
        <f t="shared" si="3"/>
        <v>469.04611872265656</v>
      </c>
      <c r="X15" s="8">
        <f t="shared" si="4"/>
        <v>469.04611872265656</v>
      </c>
    </row>
    <row r="16" spans="1:24">
      <c r="A16" s="14" t="s">
        <v>423</v>
      </c>
      <c r="B16" s="14" t="s">
        <v>424</v>
      </c>
      <c r="C16" s="14" t="s">
        <v>425</v>
      </c>
      <c r="D16" s="14"/>
      <c r="E16" s="14" t="s">
        <v>424</v>
      </c>
      <c r="F16" s="14" t="s">
        <v>213</v>
      </c>
      <c r="G16" s="14" t="s">
        <v>426</v>
      </c>
      <c r="H16" s="14"/>
      <c r="I16" s="14" t="s">
        <v>427</v>
      </c>
      <c r="J16" s="14" t="s">
        <v>384</v>
      </c>
      <c r="K16" s="1">
        <v>0.48</v>
      </c>
      <c r="L16" s="1">
        <v>0.48</v>
      </c>
      <c r="M16" s="1">
        <v>0</v>
      </c>
      <c r="N16" s="1">
        <v>0</v>
      </c>
      <c r="O16" s="1">
        <v>0</v>
      </c>
      <c r="P16" s="1">
        <v>0</v>
      </c>
      <c r="Q16" s="1">
        <f t="shared" si="1"/>
        <v>2.4</v>
      </c>
      <c r="R16" s="47">
        <v>0.1</v>
      </c>
      <c r="S16" s="1">
        <v>1</v>
      </c>
      <c r="T16" s="1">
        <f t="shared" si="2"/>
        <v>0.24</v>
      </c>
      <c r="U16" s="30">
        <f t="shared" si="0"/>
        <v>2.4356179224537078E-4</v>
      </c>
      <c r="V16" s="8">
        <v>0</v>
      </c>
      <c r="W16" s="8">
        <f t="shared" si="3"/>
        <v>367.69906416278803</v>
      </c>
      <c r="X16" s="8">
        <f t="shared" si="4"/>
        <v>367.69906416278803</v>
      </c>
    </row>
    <row r="17" spans="1:24">
      <c r="A17" s="14" t="s">
        <v>251</v>
      </c>
      <c r="B17" s="14" t="s">
        <v>252</v>
      </c>
      <c r="C17" s="14" t="s">
        <v>253</v>
      </c>
      <c r="D17" s="14"/>
      <c r="E17" s="14" t="s">
        <v>252</v>
      </c>
      <c r="F17" s="14" t="s">
        <v>213</v>
      </c>
      <c r="G17" s="14" t="s">
        <v>254</v>
      </c>
      <c r="H17" s="14"/>
      <c r="I17" s="14" t="s">
        <v>255</v>
      </c>
      <c r="J17" s="14" t="s">
        <v>237</v>
      </c>
      <c r="K17" s="1">
        <v>0.59299999999999997</v>
      </c>
      <c r="L17" s="1">
        <v>0</v>
      </c>
      <c r="M17" s="1">
        <v>0</v>
      </c>
      <c r="N17" s="1">
        <v>0.59299999999999997</v>
      </c>
      <c r="O17" s="1">
        <v>0</v>
      </c>
      <c r="P17" s="1">
        <v>0</v>
      </c>
      <c r="Q17" s="1">
        <f t="shared" si="1"/>
        <v>2.9649999999999999</v>
      </c>
      <c r="R17" s="47">
        <v>0.05</v>
      </c>
      <c r="S17" s="1">
        <v>1</v>
      </c>
      <c r="T17" s="1">
        <f t="shared" si="2"/>
        <v>0.14824999999999999</v>
      </c>
      <c r="U17" s="30">
        <f t="shared" si="0"/>
        <v>1.5045014875156757E-4</v>
      </c>
      <c r="V17" s="8">
        <v>0</v>
      </c>
      <c r="W17" s="8">
        <f t="shared" si="3"/>
        <v>227.13077609222219</v>
      </c>
      <c r="X17" s="8">
        <f t="shared" si="4"/>
        <v>227.13077609222219</v>
      </c>
    </row>
    <row r="18" spans="1:24">
      <c r="A18" s="14" t="s">
        <v>428</v>
      </c>
      <c r="B18" s="14" t="s">
        <v>429</v>
      </c>
      <c r="C18" s="14" t="s">
        <v>430</v>
      </c>
      <c r="D18" s="14" t="s">
        <v>431</v>
      </c>
      <c r="E18" s="14" t="s">
        <v>429</v>
      </c>
      <c r="F18" s="14" t="s">
        <v>213</v>
      </c>
      <c r="G18" s="14" t="s">
        <v>432</v>
      </c>
      <c r="H18" s="14" t="s">
        <v>433</v>
      </c>
      <c r="I18" s="14" t="s">
        <v>434</v>
      </c>
      <c r="J18" s="14" t="s">
        <v>435</v>
      </c>
      <c r="K18" s="1">
        <v>0.309</v>
      </c>
      <c r="L18" s="1">
        <v>0</v>
      </c>
      <c r="M18" s="1">
        <v>0</v>
      </c>
      <c r="N18" s="1">
        <v>0.309</v>
      </c>
      <c r="O18" s="1">
        <v>0</v>
      </c>
      <c r="P18" s="1">
        <v>0</v>
      </c>
      <c r="Q18" s="1">
        <f t="shared" si="1"/>
        <v>1.5449999999999999</v>
      </c>
      <c r="R18" s="47">
        <v>0.03</v>
      </c>
      <c r="S18" s="1">
        <v>1</v>
      </c>
      <c r="T18" s="1">
        <f t="shared" si="2"/>
        <v>4.6349999999999995E-2</v>
      </c>
      <c r="U18" s="30">
        <f t="shared" si="0"/>
        <v>4.7037871127387229E-5</v>
      </c>
      <c r="V18" s="8">
        <v>0</v>
      </c>
      <c r="W18" s="8">
        <f t="shared" si="3"/>
        <v>71.011881766438435</v>
      </c>
      <c r="X18" s="8">
        <f t="shared" si="4"/>
        <v>71.011881766438435</v>
      </c>
    </row>
    <row r="19" spans="1:24">
      <c r="A19" s="14" t="s">
        <v>256</v>
      </c>
      <c r="B19" s="14" t="s">
        <v>257</v>
      </c>
      <c r="C19" s="14" t="s">
        <v>258</v>
      </c>
      <c r="D19" s="14"/>
      <c r="E19" s="14" t="s">
        <v>257</v>
      </c>
      <c r="F19" s="14" t="s">
        <v>213</v>
      </c>
      <c r="G19" s="14" t="s">
        <v>214</v>
      </c>
      <c r="H19" s="14"/>
      <c r="I19" s="14" t="s">
        <v>215</v>
      </c>
      <c r="J19" s="14" t="s">
        <v>216</v>
      </c>
      <c r="K19" s="1">
        <v>0.72499999999999998</v>
      </c>
      <c r="L19" s="1">
        <v>0</v>
      </c>
      <c r="M19" s="1">
        <v>0.5</v>
      </c>
      <c r="N19" s="1">
        <v>0.22500000000000001</v>
      </c>
      <c r="O19" s="1">
        <v>0</v>
      </c>
      <c r="P19" s="1">
        <v>0</v>
      </c>
      <c r="Q19" s="1">
        <f t="shared" si="1"/>
        <v>41.125</v>
      </c>
      <c r="R19" s="47">
        <v>0.09</v>
      </c>
      <c r="S19" s="1">
        <v>1</v>
      </c>
      <c r="T19" s="1">
        <f t="shared" si="2"/>
        <v>3.7012499999999999</v>
      </c>
      <c r="U19" s="30">
        <f t="shared" si="0"/>
        <v>3.7561795147840775E-3</v>
      </c>
      <c r="V19" s="8">
        <v>0</v>
      </c>
      <c r="W19" s="8">
        <f t="shared" si="3"/>
        <v>5670.6090051354968</v>
      </c>
      <c r="X19" s="8">
        <f t="shared" si="4"/>
        <v>5670.6090051354968</v>
      </c>
    </row>
    <row r="20" spans="1:24">
      <c r="A20" s="14" t="s">
        <v>266</v>
      </c>
      <c r="B20" s="14" t="s">
        <v>267</v>
      </c>
      <c r="C20" s="14" t="s">
        <v>268</v>
      </c>
      <c r="D20" s="14" t="s">
        <v>269</v>
      </c>
      <c r="E20" s="14" t="s">
        <v>267</v>
      </c>
      <c r="F20" s="14" t="s">
        <v>213</v>
      </c>
      <c r="G20" s="14" t="s">
        <v>214</v>
      </c>
      <c r="H20" s="14"/>
      <c r="I20" s="14" t="s">
        <v>215</v>
      </c>
      <c r="J20" s="14" t="s">
        <v>216</v>
      </c>
      <c r="K20" s="1">
        <v>0.14199999999999999</v>
      </c>
      <c r="L20" s="1">
        <v>0</v>
      </c>
      <c r="M20" s="1">
        <v>0</v>
      </c>
      <c r="N20" s="1">
        <v>0.14199999999999999</v>
      </c>
      <c r="O20" s="1">
        <v>0</v>
      </c>
      <c r="P20" s="1">
        <v>0</v>
      </c>
      <c r="Q20" s="1">
        <f t="shared" si="1"/>
        <v>0.71</v>
      </c>
      <c r="R20" s="47">
        <v>7.0000000000000007E-2</v>
      </c>
      <c r="S20" s="1">
        <v>1</v>
      </c>
      <c r="T20" s="1">
        <f t="shared" si="2"/>
        <v>4.9700000000000001E-2</v>
      </c>
      <c r="U20" s="30">
        <f t="shared" si="0"/>
        <v>5.0437587810812203E-5</v>
      </c>
      <c r="V20" s="8">
        <v>0</v>
      </c>
      <c r="W20" s="8">
        <f t="shared" si="3"/>
        <v>76.144347870377359</v>
      </c>
      <c r="X20" s="8">
        <f t="shared" si="4"/>
        <v>76.144347870377359</v>
      </c>
    </row>
    <row r="21" spans="1:24">
      <c r="A21" s="14" t="s">
        <v>659</v>
      </c>
      <c r="B21" s="14" t="s">
        <v>660</v>
      </c>
      <c r="C21" s="14" t="s">
        <v>661</v>
      </c>
      <c r="D21" s="14" t="s">
        <v>662</v>
      </c>
      <c r="E21" s="14" t="s">
        <v>660</v>
      </c>
      <c r="F21" s="14" t="s">
        <v>213</v>
      </c>
      <c r="G21" s="14" t="s">
        <v>243</v>
      </c>
      <c r="H21" s="14"/>
      <c r="I21" s="14" t="s">
        <v>244</v>
      </c>
      <c r="J21" s="14" t="s">
        <v>245</v>
      </c>
      <c r="K21" s="1">
        <v>2.52</v>
      </c>
      <c r="L21" s="1">
        <v>0</v>
      </c>
      <c r="M21" s="1">
        <v>0.5</v>
      </c>
      <c r="N21" s="1">
        <v>2.02</v>
      </c>
      <c r="O21" s="1">
        <v>0</v>
      </c>
      <c r="P21" s="1">
        <v>0</v>
      </c>
      <c r="Q21" s="1">
        <f t="shared" si="1"/>
        <v>50.1</v>
      </c>
      <c r="R21" s="47">
        <v>0.4</v>
      </c>
      <c r="S21" s="1">
        <v>1</v>
      </c>
      <c r="T21" s="1">
        <f t="shared" si="2"/>
        <v>20.040000000000003</v>
      </c>
      <c r="U21" s="30">
        <f t="shared" si="0"/>
        <v>2.0337409652488463E-2</v>
      </c>
      <c r="V21" s="8">
        <v>0</v>
      </c>
      <c r="W21" s="8">
        <f t="shared" si="3"/>
        <v>30702.871857592807</v>
      </c>
      <c r="X21" s="8">
        <f t="shared" si="4"/>
        <v>30702.871857592807</v>
      </c>
    </row>
    <row r="22" spans="1:24">
      <c r="A22" s="14" t="s">
        <v>663</v>
      </c>
      <c r="B22" s="14" t="s">
        <v>664</v>
      </c>
      <c r="C22" s="14" t="s">
        <v>665</v>
      </c>
      <c r="D22" s="14" t="s">
        <v>666</v>
      </c>
      <c r="E22" s="14"/>
      <c r="F22" s="14"/>
      <c r="G22" s="14" t="s">
        <v>667</v>
      </c>
      <c r="H22" s="14" t="s">
        <v>668</v>
      </c>
      <c r="I22" s="14" t="s">
        <v>669</v>
      </c>
      <c r="J22" s="14" t="s">
        <v>670</v>
      </c>
      <c r="K22" s="1">
        <v>2.8290000000000002</v>
      </c>
      <c r="L22" s="1">
        <v>0</v>
      </c>
      <c r="M22" s="1">
        <v>0.5</v>
      </c>
      <c r="N22" s="1">
        <v>2.3290000000000002</v>
      </c>
      <c r="O22" s="1">
        <v>0</v>
      </c>
      <c r="P22" s="1">
        <v>0</v>
      </c>
      <c r="Q22" s="1">
        <f t="shared" si="1"/>
        <v>51.645000000000003</v>
      </c>
      <c r="R22" s="47">
        <v>0.4</v>
      </c>
      <c r="S22" s="1">
        <v>1</v>
      </c>
      <c r="T22" s="1">
        <f t="shared" si="2"/>
        <v>20.658000000000001</v>
      </c>
      <c r="U22" s="30">
        <f t="shared" si="0"/>
        <v>2.096458126752029E-2</v>
      </c>
      <c r="V22" s="8">
        <v>0</v>
      </c>
      <c r="W22" s="8">
        <f t="shared" si="3"/>
        <v>31649.696947811979</v>
      </c>
      <c r="X22" s="8">
        <f t="shared" si="4"/>
        <v>31649.696947811979</v>
      </c>
    </row>
    <row r="23" spans="1:24">
      <c r="A23" s="14" t="s">
        <v>671</v>
      </c>
      <c r="B23" s="14" t="s">
        <v>672</v>
      </c>
      <c r="C23" s="14" t="s">
        <v>673</v>
      </c>
      <c r="D23" s="14"/>
      <c r="E23" s="14" t="s">
        <v>674</v>
      </c>
      <c r="F23" s="14" t="s">
        <v>675</v>
      </c>
      <c r="G23" s="14" t="s">
        <v>214</v>
      </c>
      <c r="H23" s="14"/>
      <c r="I23" s="14" t="s">
        <v>215</v>
      </c>
      <c r="J23" s="14" t="s">
        <v>216</v>
      </c>
      <c r="K23" s="1">
        <v>1.212</v>
      </c>
      <c r="L23" s="1">
        <v>0</v>
      </c>
      <c r="M23" s="1">
        <v>0.5</v>
      </c>
      <c r="N23" s="1">
        <f>K23-0.5</f>
        <v>0.71199999999999997</v>
      </c>
      <c r="O23" s="1">
        <v>0</v>
      </c>
      <c r="P23" s="1">
        <v>0</v>
      </c>
      <c r="Q23" s="1">
        <f t="shared" si="1"/>
        <v>43.56</v>
      </c>
      <c r="R23" s="47">
        <v>0.32</v>
      </c>
      <c r="S23" s="1">
        <v>1</v>
      </c>
      <c r="T23" s="1">
        <f t="shared" si="2"/>
        <v>13.939200000000001</v>
      </c>
      <c r="U23" s="30">
        <f t="shared" si="0"/>
        <v>1.4146068893611136E-2</v>
      </c>
      <c r="V23" s="8">
        <v>0</v>
      </c>
      <c r="W23" s="8">
        <f t="shared" si="3"/>
        <v>21355.961646574731</v>
      </c>
      <c r="X23" s="8">
        <f t="shared" si="4"/>
        <v>21355.961646574731</v>
      </c>
    </row>
    <row r="24" spans="1:24">
      <c r="A24" s="14" t="s">
        <v>676</v>
      </c>
      <c r="B24" s="14" t="s">
        <v>677</v>
      </c>
      <c r="C24" s="14" t="s">
        <v>678</v>
      </c>
      <c r="D24" s="14" t="s">
        <v>679</v>
      </c>
      <c r="E24" s="14" t="s">
        <v>677</v>
      </c>
      <c r="F24" s="14" t="s">
        <v>213</v>
      </c>
      <c r="G24" s="14" t="s">
        <v>680</v>
      </c>
      <c r="H24" s="14" t="s">
        <v>681</v>
      </c>
      <c r="I24" s="14" t="s">
        <v>682</v>
      </c>
      <c r="J24" s="14" t="s">
        <v>683</v>
      </c>
      <c r="K24" s="1">
        <v>1.1970000000000001</v>
      </c>
      <c r="L24" s="1">
        <v>0</v>
      </c>
      <c r="M24" s="1">
        <v>0.5</v>
      </c>
      <c r="N24" s="1">
        <f>K24-0.5</f>
        <v>0.69700000000000006</v>
      </c>
      <c r="O24" s="1">
        <v>0</v>
      </c>
      <c r="P24" s="1">
        <v>0</v>
      </c>
      <c r="Q24" s="1">
        <f t="shared" si="1"/>
        <v>43.484999999999999</v>
      </c>
      <c r="R24" s="47">
        <v>0.32</v>
      </c>
      <c r="S24" s="1">
        <v>1</v>
      </c>
      <c r="T24" s="1">
        <f t="shared" si="2"/>
        <v>13.9152</v>
      </c>
      <c r="U24" s="30">
        <f t="shared" si="0"/>
        <v>1.4121712714386598E-2</v>
      </c>
      <c r="V24" s="8">
        <v>0</v>
      </c>
      <c r="W24" s="8">
        <f t="shared" si="3"/>
        <v>21319.191740158451</v>
      </c>
      <c r="X24" s="8">
        <f t="shared" si="4"/>
        <v>21319.191740158451</v>
      </c>
    </row>
    <row r="25" spans="1:24">
      <c r="A25" s="14" t="s">
        <v>494</v>
      </c>
      <c r="B25" s="14" t="s">
        <v>218</v>
      </c>
      <c r="C25" s="14" t="s">
        <v>495</v>
      </c>
      <c r="D25" s="14" t="s">
        <v>496</v>
      </c>
      <c r="E25" s="14" t="s">
        <v>497</v>
      </c>
      <c r="F25" s="14" t="s">
        <v>213</v>
      </c>
      <c r="G25" s="14" t="s">
        <v>498</v>
      </c>
      <c r="H25" s="14" t="s">
        <v>499</v>
      </c>
      <c r="I25" s="14" t="s">
        <v>500</v>
      </c>
      <c r="J25" s="14" t="s">
        <v>501</v>
      </c>
      <c r="K25" s="1">
        <v>26.791</v>
      </c>
      <c r="L25" s="1">
        <v>26.791</v>
      </c>
      <c r="M25" s="1">
        <v>0</v>
      </c>
      <c r="N25" s="1">
        <v>0</v>
      </c>
      <c r="O25" s="1">
        <v>0</v>
      </c>
      <c r="P25" s="1">
        <v>0</v>
      </c>
      <c r="Q25" s="1">
        <f t="shared" si="1"/>
        <v>133.95500000000001</v>
      </c>
      <c r="R25" s="47">
        <v>0.48</v>
      </c>
      <c r="S25" s="1">
        <v>1</v>
      </c>
      <c r="T25" s="1">
        <f t="shared" si="2"/>
        <v>64.298400000000001</v>
      </c>
      <c r="U25" s="30">
        <f t="shared" si="0"/>
        <v>6.5252639760457282E-2</v>
      </c>
      <c r="V25" s="8">
        <v>0</v>
      </c>
      <c r="W25" s="8">
        <f t="shared" si="3"/>
        <v>98510.256279852532</v>
      </c>
      <c r="X25" s="8">
        <f t="shared" si="4"/>
        <v>98510.256279852532</v>
      </c>
    </row>
    <row r="26" spans="1:24">
      <c r="A26" s="14" t="s">
        <v>534</v>
      </c>
      <c r="B26" s="14" t="s">
        <v>535</v>
      </c>
      <c r="C26" s="14" t="s">
        <v>536</v>
      </c>
      <c r="D26" s="14" t="s">
        <v>537</v>
      </c>
      <c r="E26" s="14"/>
      <c r="F26" s="14"/>
      <c r="G26" s="14" t="s">
        <v>538</v>
      </c>
      <c r="H26" s="14"/>
      <c r="I26" s="14" t="s">
        <v>539</v>
      </c>
      <c r="J26" s="14" t="s">
        <v>384</v>
      </c>
      <c r="K26" s="1">
        <v>0.40699999999999997</v>
      </c>
      <c r="L26" s="1">
        <v>0.40699999999999997</v>
      </c>
      <c r="M26" s="1">
        <v>0</v>
      </c>
      <c r="N26" s="1">
        <v>0</v>
      </c>
      <c r="O26" s="1">
        <v>0</v>
      </c>
      <c r="P26" s="1">
        <v>0</v>
      </c>
      <c r="Q26" s="1">
        <f t="shared" si="1"/>
        <v>2.0349999999999997</v>
      </c>
      <c r="R26" s="47">
        <v>0.35</v>
      </c>
      <c r="S26" s="1">
        <v>1</v>
      </c>
      <c r="T26" s="1">
        <f t="shared" si="2"/>
        <v>0.71224999999999983</v>
      </c>
      <c r="U26" s="30">
        <f t="shared" si="0"/>
        <v>7.2282036052818879E-4</v>
      </c>
      <c r="V26" s="8">
        <v>0</v>
      </c>
      <c r="W26" s="8">
        <f t="shared" si="3"/>
        <v>1091.2235768747739</v>
      </c>
      <c r="X26" s="8">
        <f t="shared" si="4"/>
        <v>1091.2235768747739</v>
      </c>
    </row>
    <row r="27" spans="1:24">
      <c r="A27" s="14" t="s">
        <v>546</v>
      </c>
      <c r="B27" s="14" t="s">
        <v>547</v>
      </c>
      <c r="C27" s="14" t="s">
        <v>548</v>
      </c>
      <c r="D27" s="14" t="s">
        <v>549</v>
      </c>
      <c r="E27" s="14" t="s">
        <v>547</v>
      </c>
      <c r="F27" s="14" t="s">
        <v>213</v>
      </c>
      <c r="G27" s="14" t="s">
        <v>214</v>
      </c>
      <c r="H27" s="14"/>
      <c r="I27" s="14" t="s">
        <v>215</v>
      </c>
      <c r="J27" s="14" t="s">
        <v>216</v>
      </c>
      <c r="K27" s="1">
        <v>0.498</v>
      </c>
      <c r="L27" s="1">
        <v>0</v>
      </c>
      <c r="M27" s="1">
        <v>0</v>
      </c>
      <c r="N27" s="1">
        <v>0.498</v>
      </c>
      <c r="O27" s="1">
        <v>0</v>
      </c>
      <c r="P27" s="1">
        <v>0</v>
      </c>
      <c r="Q27" s="1">
        <f t="shared" si="1"/>
        <v>2.4900000000000002</v>
      </c>
      <c r="R27" s="47">
        <v>0.52</v>
      </c>
      <c r="S27" s="1">
        <v>1</v>
      </c>
      <c r="T27" s="1">
        <f t="shared" si="2"/>
        <v>1.2948000000000002</v>
      </c>
      <c r="U27" s="30">
        <f t="shared" si="0"/>
        <v>1.3140158691637754E-3</v>
      </c>
      <c r="V27" s="8">
        <v>0</v>
      </c>
      <c r="W27" s="8">
        <f t="shared" si="3"/>
        <v>1983.7364511582416</v>
      </c>
      <c r="X27" s="8">
        <f t="shared" si="4"/>
        <v>1983.7364511582416</v>
      </c>
    </row>
    <row r="28" spans="1:24">
      <c r="A28" s="14" t="s">
        <v>550</v>
      </c>
      <c r="B28" s="14" t="s">
        <v>445</v>
      </c>
      <c r="C28" s="14" t="s">
        <v>232</v>
      </c>
      <c r="D28" s="14" t="s">
        <v>233</v>
      </c>
      <c r="E28" s="14" t="s">
        <v>231</v>
      </c>
      <c r="F28" s="14" t="s">
        <v>326</v>
      </c>
      <c r="G28" s="14" t="s">
        <v>551</v>
      </c>
      <c r="H28" s="14"/>
      <c r="I28" s="14" t="s">
        <v>236</v>
      </c>
      <c r="J28" s="14" t="s">
        <v>237</v>
      </c>
      <c r="K28" s="1">
        <v>0.59599999999999997</v>
      </c>
      <c r="L28" s="1">
        <v>0.59599999999999997</v>
      </c>
      <c r="M28" s="1">
        <v>0</v>
      </c>
      <c r="N28" s="1">
        <v>0</v>
      </c>
      <c r="O28" s="1">
        <v>0</v>
      </c>
      <c r="P28" s="1">
        <v>0</v>
      </c>
      <c r="Q28" s="1">
        <f t="shared" si="1"/>
        <v>2.98</v>
      </c>
      <c r="R28" s="47">
        <v>0.57999999999999996</v>
      </c>
      <c r="S28" s="1">
        <v>1</v>
      </c>
      <c r="T28" s="1">
        <f t="shared" si="2"/>
        <v>1.7283999999999999</v>
      </c>
      <c r="U28" s="30">
        <f t="shared" si="0"/>
        <v>1.7540508404870784E-3</v>
      </c>
      <c r="V28" s="8">
        <v>0</v>
      </c>
      <c r="W28" s="8">
        <f t="shared" si="3"/>
        <v>2648.0460937456783</v>
      </c>
      <c r="X28" s="8">
        <f t="shared" si="4"/>
        <v>2648.0460937456783</v>
      </c>
    </row>
    <row r="29" spans="1:24">
      <c r="A29" s="14" t="s">
        <v>552</v>
      </c>
      <c r="B29" s="14" t="s">
        <v>553</v>
      </c>
      <c r="C29" s="14" t="s">
        <v>554</v>
      </c>
      <c r="D29" s="14" t="s">
        <v>555</v>
      </c>
      <c r="E29" s="14" t="s">
        <v>556</v>
      </c>
      <c r="F29" s="14" t="s">
        <v>213</v>
      </c>
      <c r="G29" s="14" t="s">
        <v>557</v>
      </c>
      <c r="H29" s="14"/>
      <c r="I29" s="14" t="s">
        <v>558</v>
      </c>
      <c r="J29" s="14" t="s">
        <v>559</v>
      </c>
      <c r="K29" s="1">
        <v>0.88100000000000001</v>
      </c>
      <c r="L29" s="1">
        <v>0.35</v>
      </c>
      <c r="M29" s="1">
        <v>0</v>
      </c>
      <c r="N29" s="1">
        <f>K29-L29</f>
        <v>0.53100000000000003</v>
      </c>
      <c r="O29" s="1">
        <v>0</v>
      </c>
      <c r="P29" s="1">
        <v>0</v>
      </c>
      <c r="Q29" s="1">
        <f t="shared" si="1"/>
        <v>4.4050000000000002</v>
      </c>
      <c r="R29" s="47">
        <v>0.43</v>
      </c>
      <c r="S29" s="1">
        <v>1</v>
      </c>
      <c r="T29" s="1">
        <f t="shared" si="2"/>
        <v>1.89415</v>
      </c>
      <c r="U29" s="30">
        <f t="shared" si="0"/>
        <v>1.9222607032565377E-3</v>
      </c>
      <c r="V29" s="8">
        <v>0</v>
      </c>
      <c r="W29" s="8">
        <f t="shared" si="3"/>
        <v>2901.988259933104</v>
      </c>
      <c r="X29" s="8">
        <f t="shared" si="4"/>
        <v>2901.988259933104</v>
      </c>
    </row>
    <row r="30" spans="1:24">
      <c r="A30" s="14" t="s">
        <v>684</v>
      </c>
      <c r="B30" s="14" t="s">
        <v>685</v>
      </c>
      <c r="C30" s="14" t="s">
        <v>686</v>
      </c>
      <c r="D30" s="14" t="s">
        <v>687</v>
      </c>
      <c r="E30" s="14" t="s">
        <v>685</v>
      </c>
      <c r="F30" s="14" t="s">
        <v>213</v>
      </c>
      <c r="G30" s="14" t="s">
        <v>688</v>
      </c>
      <c r="H30" s="14" t="s">
        <v>689</v>
      </c>
      <c r="I30" s="14" t="s">
        <v>690</v>
      </c>
      <c r="J30" s="14" t="s">
        <v>362</v>
      </c>
      <c r="K30" s="1">
        <v>1.43</v>
      </c>
      <c r="L30" s="1">
        <v>0</v>
      </c>
      <c r="M30" s="1">
        <v>0.5</v>
      </c>
      <c r="N30" s="1">
        <f>K30-M30</f>
        <v>0.92999999999999994</v>
      </c>
      <c r="O30" s="1">
        <v>0</v>
      </c>
      <c r="P30" s="1">
        <v>0</v>
      </c>
      <c r="Q30" s="1">
        <f t="shared" si="1"/>
        <v>44.65</v>
      </c>
      <c r="R30" s="47">
        <v>0.62</v>
      </c>
      <c r="S30" s="1">
        <v>0.8</v>
      </c>
      <c r="T30" s="1">
        <f t="shared" si="2"/>
        <v>22.1464</v>
      </c>
      <c r="U30" s="30">
        <f t="shared" si="0"/>
        <v>2.2475070315761996E-2</v>
      </c>
      <c r="V30" s="8">
        <v>0</v>
      </c>
      <c r="W30" s="8">
        <f t="shared" si="3"/>
        <v>33930.043977394867</v>
      </c>
      <c r="X30" s="8">
        <f t="shared" si="4"/>
        <v>33930.043977394867</v>
      </c>
    </row>
    <row r="31" spans="1:24">
      <c r="A31" s="14" t="s">
        <v>691</v>
      </c>
      <c r="B31" s="14" t="s">
        <v>692</v>
      </c>
      <c r="C31" s="14" t="s">
        <v>693</v>
      </c>
      <c r="D31" s="14" t="s">
        <v>694</v>
      </c>
      <c r="E31" s="14" t="s">
        <v>692</v>
      </c>
      <c r="F31" s="14" t="s">
        <v>213</v>
      </c>
      <c r="G31" s="14" t="s">
        <v>214</v>
      </c>
      <c r="H31" s="14"/>
      <c r="I31" s="14" t="s">
        <v>215</v>
      </c>
      <c r="J31" s="14" t="s">
        <v>216</v>
      </c>
      <c r="K31" s="1">
        <v>1.3859999999999999</v>
      </c>
      <c r="L31" s="1">
        <v>0</v>
      </c>
      <c r="M31" s="1">
        <v>0.5</v>
      </c>
      <c r="N31" s="1">
        <f>K31-M31</f>
        <v>0.8859999999999999</v>
      </c>
      <c r="O31" s="1">
        <v>0</v>
      </c>
      <c r="P31" s="1">
        <v>0</v>
      </c>
      <c r="Q31" s="1">
        <f t="shared" si="1"/>
        <v>44.43</v>
      </c>
      <c r="R31" s="47">
        <v>0.62</v>
      </c>
      <c r="S31" s="1">
        <v>0.9</v>
      </c>
      <c r="T31" s="1">
        <f t="shared" si="2"/>
        <v>24.79194</v>
      </c>
      <c r="U31" s="30">
        <f t="shared" si="0"/>
        <v>2.5159872248498742E-2</v>
      </c>
      <c r="V31" s="8">
        <v>0</v>
      </c>
      <c r="W31" s="8">
        <f t="shared" si="3"/>
        <v>37983.221403249969</v>
      </c>
      <c r="X31" s="8">
        <f t="shared" si="4"/>
        <v>37983.221403249969</v>
      </c>
    </row>
    <row r="32" spans="1:24">
      <c r="A32" s="14" t="s">
        <v>592</v>
      </c>
      <c r="B32" s="14" t="s">
        <v>218</v>
      </c>
      <c r="C32" s="14" t="s">
        <v>495</v>
      </c>
      <c r="D32" s="14" t="s">
        <v>496</v>
      </c>
      <c r="E32" s="14" t="s">
        <v>593</v>
      </c>
      <c r="F32" s="14" t="s">
        <v>213</v>
      </c>
      <c r="G32" s="14" t="s">
        <v>498</v>
      </c>
      <c r="H32" s="14" t="s">
        <v>499</v>
      </c>
      <c r="I32" s="14" t="s">
        <v>500</v>
      </c>
      <c r="J32" s="14" t="s">
        <v>501</v>
      </c>
      <c r="K32" s="1">
        <v>7.4969999999999999</v>
      </c>
      <c r="L32" s="1">
        <v>7.4969999999999999</v>
      </c>
      <c r="M32" s="1">
        <v>0</v>
      </c>
      <c r="N32" s="1">
        <v>0</v>
      </c>
      <c r="O32" s="1">
        <v>0</v>
      </c>
      <c r="P32" s="1">
        <v>0</v>
      </c>
      <c r="Q32" s="1">
        <f t="shared" si="1"/>
        <v>37.484999999999999</v>
      </c>
      <c r="R32" s="47">
        <v>0.57999999999999996</v>
      </c>
      <c r="S32" s="1">
        <v>1</v>
      </c>
      <c r="T32" s="1">
        <f t="shared" si="2"/>
        <v>21.741299999999999</v>
      </c>
      <c r="U32" s="30">
        <f t="shared" si="0"/>
        <v>2.2063958307267831E-2</v>
      </c>
      <c r="V32" s="8">
        <v>0</v>
      </c>
      <c r="W32" s="8">
        <f t="shared" si="3"/>
        <v>33309.398598676766</v>
      </c>
      <c r="X32" s="8">
        <f t="shared" si="4"/>
        <v>33309.398598676766</v>
      </c>
    </row>
    <row r="33" spans="1:24">
      <c r="A33" s="14" t="s">
        <v>695</v>
      </c>
      <c r="B33" s="14" t="s">
        <v>696</v>
      </c>
      <c r="C33" s="14" t="s">
        <v>697</v>
      </c>
      <c r="D33" s="14" t="s">
        <v>698</v>
      </c>
      <c r="E33" s="14" t="s">
        <v>696</v>
      </c>
      <c r="F33" s="14" t="s">
        <v>213</v>
      </c>
      <c r="G33" s="14" t="s">
        <v>699</v>
      </c>
      <c r="H33" s="14" t="s">
        <v>700</v>
      </c>
      <c r="I33" s="14" t="s">
        <v>701</v>
      </c>
      <c r="J33" s="14" t="s">
        <v>702</v>
      </c>
      <c r="K33" s="1">
        <v>5.2969999999999997</v>
      </c>
      <c r="L33" s="1">
        <v>0</v>
      </c>
      <c r="M33" s="1">
        <v>0.5</v>
      </c>
      <c r="N33" s="1">
        <f>K33-0.5</f>
        <v>4.7969999999999997</v>
      </c>
      <c r="O33" s="1">
        <v>0</v>
      </c>
      <c r="P33" s="1">
        <v>0</v>
      </c>
      <c r="Q33" s="1">
        <f t="shared" si="1"/>
        <v>63.984999999999999</v>
      </c>
      <c r="R33" s="47">
        <v>0.74</v>
      </c>
      <c r="S33" s="1">
        <v>1</v>
      </c>
      <c r="T33" s="1">
        <f t="shared" si="2"/>
        <v>47.3489</v>
      </c>
      <c r="U33" s="30">
        <f t="shared" si="0"/>
        <v>4.8051595603528487E-2</v>
      </c>
      <c r="V33" s="8">
        <v>0</v>
      </c>
      <c r="W33" s="8">
        <f t="shared" si="3"/>
        <v>72542.275913072648</v>
      </c>
      <c r="X33" s="8">
        <f t="shared" si="4"/>
        <v>72542.275913072648</v>
      </c>
    </row>
    <row r="34" spans="1:24">
      <c r="A34" s="14" t="s">
        <v>703</v>
      </c>
      <c r="B34" s="14" t="s">
        <v>704</v>
      </c>
      <c r="C34" s="14" t="s">
        <v>705</v>
      </c>
      <c r="D34" s="14"/>
      <c r="E34" s="14" t="s">
        <v>706</v>
      </c>
      <c r="F34" s="14" t="s">
        <v>213</v>
      </c>
      <c r="G34" s="14" t="s">
        <v>707</v>
      </c>
      <c r="H34" s="14"/>
      <c r="I34" s="14" t="s">
        <v>708</v>
      </c>
      <c r="J34" s="14" t="s">
        <v>709</v>
      </c>
      <c r="K34" s="1">
        <v>3.9710000000000001</v>
      </c>
      <c r="L34" s="1">
        <f>K34-2.21</f>
        <v>1.7610000000000001</v>
      </c>
      <c r="M34" s="1">
        <v>0.5</v>
      </c>
      <c r="N34" s="1">
        <f>2.21-0.5</f>
        <v>1.71</v>
      </c>
      <c r="O34" s="1">
        <v>0</v>
      </c>
      <c r="P34" s="1">
        <v>0</v>
      </c>
      <c r="Q34" s="1">
        <f t="shared" si="1"/>
        <v>57.355000000000004</v>
      </c>
      <c r="R34" s="47">
        <v>1</v>
      </c>
      <c r="S34" s="1">
        <v>1</v>
      </c>
      <c r="T34" s="1">
        <f t="shared" si="2"/>
        <v>57.355000000000004</v>
      </c>
      <c r="U34" s="30">
        <f t="shared" si="0"/>
        <v>5.8206194142638508E-2</v>
      </c>
      <c r="V34" s="8">
        <v>0</v>
      </c>
      <c r="W34" s="8">
        <f t="shared" si="3"/>
        <v>87872.415937736281</v>
      </c>
      <c r="X34" s="8">
        <f t="shared" si="4"/>
        <v>87872.415937736281</v>
      </c>
    </row>
    <row r="35" spans="1:24">
      <c r="A35" s="14" t="s">
        <v>710</v>
      </c>
      <c r="B35" s="14" t="s">
        <v>711</v>
      </c>
      <c r="C35" s="14" t="s">
        <v>712</v>
      </c>
      <c r="D35" s="14" t="s">
        <v>713</v>
      </c>
      <c r="E35" s="14" t="s">
        <v>711</v>
      </c>
      <c r="F35" s="14" t="s">
        <v>213</v>
      </c>
      <c r="G35" s="14" t="s">
        <v>243</v>
      </c>
      <c r="H35" s="14"/>
      <c r="I35" s="14" t="s">
        <v>244</v>
      </c>
      <c r="J35" s="14" t="s">
        <v>245</v>
      </c>
      <c r="K35" s="1">
        <v>5.1849999999999996</v>
      </c>
      <c r="L35" s="1">
        <v>2.87</v>
      </c>
      <c r="M35" s="1">
        <v>0.5</v>
      </c>
      <c r="N35" s="1">
        <f>K35-L35-M35</f>
        <v>1.8149999999999995</v>
      </c>
      <c r="O35" s="1">
        <v>0</v>
      </c>
      <c r="P35" s="1">
        <v>0</v>
      </c>
      <c r="Q35" s="1">
        <f t="shared" si="1"/>
        <v>63.424999999999997</v>
      </c>
      <c r="R35" s="47">
        <v>1</v>
      </c>
      <c r="S35" s="1">
        <v>1</v>
      </c>
      <c r="T35" s="1">
        <f t="shared" si="2"/>
        <v>63.424999999999997</v>
      </c>
      <c r="U35" s="30">
        <f t="shared" si="0"/>
        <v>6.4366277804844343E-2</v>
      </c>
      <c r="V35" s="8">
        <v>0</v>
      </c>
      <c r="W35" s="8">
        <f t="shared" si="3"/>
        <v>97172.1381021868</v>
      </c>
      <c r="X35" s="8">
        <f t="shared" si="4"/>
        <v>97172.1381021868</v>
      </c>
    </row>
    <row r="36" spans="1:24">
      <c r="A36" s="14" t="s">
        <v>714</v>
      </c>
      <c r="B36" s="14" t="s">
        <v>715</v>
      </c>
      <c r="C36" s="14" t="s">
        <v>716</v>
      </c>
      <c r="D36" s="14"/>
      <c r="E36" s="14" t="s">
        <v>715</v>
      </c>
      <c r="F36" s="14" t="s">
        <v>213</v>
      </c>
      <c r="G36" s="14" t="s">
        <v>214</v>
      </c>
      <c r="H36" s="14"/>
      <c r="I36" s="14" t="s">
        <v>215</v>
      </c>
      <c r="J36" s="14" t="s">
        <v>216</v>
      </c>
      <c r="K36" s="1">
        <v>5.2030000000000003</v>
      </c>
      <c r="L36" s="1">
        <v>0</v>
      </c>
      <c r="M36" s="1">
        <v>0.5</v>
      </c>
      <c r="N36" s="1">
        <f>K36-0.5</f>
        <v>4.7030000000000003</v>
      </c>
      <c r="O36" s="1">
        <v>0</v>
      </c>
      <c r="P36" s="1">
        <v>0</v>
      </c>
      <c r="Q36" s="1">
        <f t="shared" si="1"/>
        <v>63.515000000000001</v>
      </c>
      <c r="R36" s="47">
        <v>0.96</v>
      </c>
      <c r="S36" s="1">
        <v>1</v>
      </c>
      <c r="T36" s="1">
        <f t="shared" si="2"/>
        <v>60.974399999999996</v>
      </c>
      <c r="U36" s="30">
        <f t="shared" si="0"/>
        <v>6.1879308937858896E-2</v>
      </c>
      <c r="V36" s="8">
        <v>0</v>
      </c>
      <c r="W36" s="8">
        <f t="shared" si="3"/>
        <v>93417.624241197918</v>
      </c>
      <c r="X36" s="8">
        <f t="shared" si="4"/>
        <v>93417.624241197918</v>
      </c>
    </row>
    <row r="37" spans="1:24">
      <c r="A37" s="14" t="s">
        <v>717</v>
      </c>
      <c r="B37" s="14" t="s">
        <v>718</v>
      </c>
      <c r="C37" s="14" t="s">
        <v>719</v>
      </c>
      <c r="D37" s="14" t="s">
        <v>720</v>
      </c>
      <c r="E37" s="14" t="s">
        <v>718</v>
      </c>
      <c r="F37" s="14" t="s">
        <v>213</v>
      </c>
      <c r="G37" s="14" t="s">
        <v>243</v>
      </c>
      <c r="H37" s="14"/>
      <c r="I37" s="14" t="s">
        <v>244</v>
      </c>
      <c r="J37" s="14" t="s">
        <v>245</v>
      </c>
      <c r="K37" s="1">
        <v>5.2889999999999997</v>
      </c>
      <c r="L37" s="1">
        <v>0</v>
      </c>
      <c r="M37" s="1">
        <v>0.5</v>
      </c>
      <c r="N37" s="1">
        <f>K37-0.5</f>
        <v>4.7889999999999997</v>
      </c>
      <c r="O37" s="1">
        <v>0</v>
      </c>
      <c r="P37" s="1">
        <v>0</v>
      </c>
      <c r="Q37" s="1">
        <f t="shared" si="1"/>
        <v>63.945</v>
      </c>
      <c r="R37" s="47">
        <v>0.92</v>
      </c>
      <c r="S37" s="1">
        <v>1</v>
      </c>
      <c r="T37" s="1">
        <f t="shared" si="2"/>
        <v>58.8294</v>
      </c>
      <c r="U37" s="30">
        <f t="shared" si="0"/>
        <v>5.9702475419665897E-2</v>
      </c>
      <c r="V37" s="8">
        <v>0</v>
      </c>
      <c r="W37" s="8">
        <f t="shared" si="3"/>
        <v>90131.313855243003</v>
      </c>
      <c r="X37" s="8">
        <f t="shared" si="4"/>
        <v>90131.313855243003</v>
      </c>
    </row>
    <row r="38" spans="1:24">
      <c r="A38" s="14" t="s">
        <v>721</v>
      </c>
      <c r="B38" s="14" t="s">
        <v>722</v>
      </c>
      <c r="C38" s="14" t="s">
        <v>723</v>
      </c>
      <c r="D38" s="14"/>
      <c r="E38" s="14" t="s">
        <v>722</v>
      </c>
      <c r="F38" s="14" t="s">
        <v>213</v>
      </c>
      <c r="G38" s="14" t="s">
        <v>214</v>
      </c>
      <c r="H38" s="14"/>
      <c r="I38" s="14" t="s">
        <v>215</v>
      </c>
      <c r="J38" s="14" t="s">
        <v>216</v>
      </c>
      <c r="K38" s="1">
        <v>5.2469999999999999</v>
      </c>
      <c r="L38" s="1">
        <v>0</v>
      </c>
      <c r="M38" s="1">
        <v>0.5</v>
      </c>
      <c r="N38" s="1">
        <f>K38-0.5</f>
        <v>4.7469999999999999</v>
      </c>
      <c r="O38" s="1">
        <v>0</v>
      </c>
      <c r="P38" s="1">
        <v>0</v>
      </c>
      <c r="Q38" s="1">
        <f t="shared" si="1"/>
        <v>63.734999999999999</v>
      </c>
      <c r="R38" s="47">
        <v>0.86</v>
      </c>
      <c r="S38" s="1">
        <v>1</v>
      </c>
      <c r="T38" s="1">
        <f t="shared" si="2"/>
        <v>54.812100000000001</v>
      </c>
      <c r="U38" s="30">
        <f t="shared" si="0"/>
        <v>5.5625555469718702E-2</v>
      </c>
      <c r="V38" s="8">
        <v>0</v>
      </c>
      <c r="W38" s="8">
        <f t="shared" si="3"/>
        <v>83976.491144988147</v>
      </c>
      <c r="X38" s="8">
        <f t="shared" si="4"/>
        <v>83976.491144988147</v>
      </c>
    </row>
    <row r="39" spans="1:24">
      <c r="A39" s="14" t="s">
        <v>724</v>
      </c>
      <c r="B39" s="14" t="s">
        <v>218</v>
      </c>
      <c r="C39" s="14" t="s">
        <v>725</v>
      </c>
      <c r="D39" s="14" t="s">
        <v>698</v>
      </c>
      <c r="E39" s="14" t="s">
        <v>696</v>
      </c>
      <c r="F39" s="14" t="s">
        <v>213</v>
      </c>
      <c r="G39" s="14" t="s">
        <v>726</v>
      </c>
      <c r="H39" s="14" t="s">
        <v>700</v>
      </c>
      <c r="I39" s="14" t="s">
        <v>701</v>
      </c>
      <c r="J39" s="14" t="s">
        <v>702</v>
      </c>
      <c r="K39" s="1">
        <v>4.9710000000000001</v>
      </c>
      <c r="L39" s="1">
        <v>4.9710000000000001</v>
      </c>
      <c r="M39" s="1">
        <v>0</v>
      </c>
      <c r="N39" s="1">
        <v>0</v>
      </c>
      <c r="O39" s="1">
        <v>0</v>
      </c>
      <c r="P39" s="1">
        <v>0</v>
      </c>
      <c r="Q39" s="1">
        <f t="shared" si="1"/>
        <v>24.855</v>
      </c>
      <c r="R39" s="47">
        <v>0.68</v>
      </c>
      <c r="S39" s="1">
        <v>1</v>
      </c>
      <c r="T39" s="1">
        <f t="shared" si="2"/>
        <v>16.901400000000002</v>
      </c>
      <c r="U39" s="30">
        <f t="shared" si="0"/>
        <v>1.7152230314399625E-2</v>
      </c>
      <c r="V39" s="8">
        <v>0</v>
      </c>
      <c r="W39" s="8">
        <f t="shared" si="3"/>
        <v>25894.287346003945</v>
      </c>
      <c r="X39" s="8">
        <f t="shared" si="4"/>
        <v>25894.287346003945</v>
      </c>
    </row>
    <row r="40" spans="1:24">
      <c r="A40" s="14" t="s">
        <v>727</v>
      </c>
      <c r="B40" s="14" t="s">
        <v>728</v>
      </c>
      <c r="C40" s="14" t="s">
        <v>729</v>
      </c>
      <c r="D40" s="14"/>
      <c r="E40" s="14" t="s">
        <v>728</v>
      </c>
      <c r="F40" s="14" t="s">
        <v>213</v>
      </c>
      <c r="G40" s="14" t="s">
        <v>730</v>
      </c>
      <c r="H40" s="14"/>
      <c r="I40" s="14" t="s">
        <v>731</v>
      </c>
      <c r="J40" s="14" t="s">
        <v>670</v>
      </c>
      <c r="K40" s="1">
        <v>3.9780000000000002</v>
      </c>
      <c r="L40" s="1">
        <v>3.9780000000000002</v>
      </c>
      <c r="M40" s="1">
        <v>0</v>
      </c>
      <c r="N40" s="1">
        <v>0</v>
      </c>
      <c r="O40" s="1">
        <v>0</v>
      </c>
      <c r="P40" s="1">
        <v>0</v>
      </c>
      <c r="Q40" s="1">
        <f t="shared" si="1"/>
        <v>19.89</v>
      </c>
      <c r="R40" s="47">
        <v>0.46</v>
      </c>
      <c r="S40" s="1">
        <v>1</v>
      </c>
      <c r="T40" s="1">
        <f t="shared" si="2"/>
        <v>9.1494</v>
      </c>
      <c r="U40" s="30">
        <f t="shared" si="0"/>
        <v>9.2851844248741482E-3</v>
      </c>
      <c r="V40" s="8">
        <v>0</v>
      </c>
      <c r="W40" s="8">
        <f t="shared" si="3"/>
        <v>14017.607573545887</v>
      </c>
      <c r="X40" s="8">
        <f t="shared" si="4"/>
        <v>14017.607573545887</v>
      </c>
    </row>
    <row r="41" spans="1:24">
      <c r="A41" s="14" t="s">
        <v>732</v>
      </c>
      <c r="B41" s="14" t="s">
        <v>733</v>
      </c>
      <c r="C41" s="14" t="s">
        <v>734</v>
      </c>
      <c r="D41" s="14"/>
      <c r="E41" s="14" t="s">
        <v>733</v>
      </c>
      <c r="F41" s="14" t="s">
        <v>213</v>
      </c>
      <c r="G41" s="14"/>
      <c r="H41" s="14"/>
      <c r="I41" s="14"/>
      <c r="J41" s="14"/>
      <c r="K41" s="1">
        <v>1.302</v>
      </c>
      <c r="L41" s="1">
        <v>0</v>
      </c>
      <c r="M41" s="1">
        <v>0.5</v>
      </c>
      <c r="N41" s="1">
        <f>K41-M41</f>
        <v>0.80200000000000005</v>
      </c>
      <c r="O41" s="1">
        <v>0</v>
      </c>
      <c r="P41" s="1">
        <v>0</v>
      </c>
      <c r="Q41" s="1">
        <f t="shared" si="1"/>
        <v>44.01</v>
      </c>
      <c r="R41" s="47">
        <v>0.62</v>
      </c>
      <c r="S41" s="1">
        <v>0.9</v>
      </c>
      <c r="T41" s="1">
        <f t="shared" si="2"/>
        <v>24.557579999999998</v>
      </c>
      <c r="U41" s="30">
        <f t="shared" si="0"/>
        <v>2.4922034158371135E-2</v>
      </c>
      <c r="V41" s="8">
        <v>0</v>
      </c>
      <c r="W41" s="8">
        <f t="shared" si="3"/>
        <v>37624.163267094998</v>
      </c>
      <c r="X41" s="8">
        <f t="shared" si="4"/>
        <v>37624.163267094998</v>
      </c>
    </row>
    <row r="42" spans="1:24">
      <c r="U42" s="49" t="s">
        <v>171</v>
      </c>
      <c r="V42" s="31">
        <f>SUM(V3:V41)</f>
        <v>574690</v>
      </c>
      <c r="W42" s="31">
        <f>Overview!D22-V42</f>
        <v>1509674.6528797012</v>
      </c>
      <c r="X42" s="31">
        <f>SUM(X3:X41)</f>
        <v>2084364.6528797024</v>
      </c>
    </row>
    <row r="43" spans="1:24">
      <c r="K43" s="45"/>
      <c r="L43" s="45" t="s">
        <v>310</v>
      </c>
      <c r="M43" s="45"/>
      <c r="N43" s="45"/>
      <c r="O43" s="45"/>
      <c r="P43" s="45"/>
      <c r="U43" s="3"/>
      <c r="V43" s="3"/>
    </row>
    <row r="44" spans="1:24">
      <c r="L44" t="s">
        <v>311</v>
      </c>
      <c r="M44" s="45"/>
    </row>
    <row r="45" spans="1:24">
      <c r="L45" t="s">
        <v>312</v>
      </c>
    </row>
    <row r="46" spans="1:24">
      <c r="L46" t="s">
        <v>313</v>
      </c>
    </row>
    <row r="47" spans="1:24">
      <c r="L47" t="s">
        <v>314</v>
      </c>
    </row>
    <row r="49" spans="12:20">
      <c r="L49">
        <f>SUM(L3:L41)</f>
        <v>69.890999999999991</v>
      </c>
      <c r="M49">
        <f t="shared" ref="M49:N49" si="5">SUM(M3:M41)</f>
        <v>8.5</v>
      </c>
      <c r="N49">
        <f t="shared" si="5"/>
        <v>40.118999999999993</v>
      </c>
    </row>
    <row r="50" spans="12:20">
      <c r="S50" t="s">
        <v>618</v>
      </c>
      <c r="T50">
        <f>SUM(T3:T41)</f>
        <v>985.37622747584919</v>
      </c>
    </row>
    <row r="52" spans="12:20">
      <c r="M52">
        <f>M49+N49+'Area 3'!M49+'Area 3'!N49+'Area 2'!M71+'Area 2'!N71+'Area 1'!M31+'Area 1'!N31</f>
        <v>245.76600000000002</v>
      </c>
    </row>
  </sheetData>
  <sortState xmlns:xlrd2="http://schemas.microsoft.com/office/spreadsheetml/2017/richdata2" ref="A4:X41">
    <sortCondition ref="A4:A41"/>
  </sortState>
  <pageMargins left="0.7" right="0.7" top="0.75" bottom="0.75" header="0.3" footer="0.3"/>
  <pageSetup paperSize="3" scale="84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F1BC-F202-47DB-AF3B-9CF9CE2C4813}">
  <sheetPr>
    <pageSetUpPr fitToPage="1"/>
  </sheetPr>
  <dimension ref="A1:Y52"/>
  <sheetViews>
    <sheetView zoomScale="80" zoomScaleNormal="80" workbookViewId="0">
      <pane xSplit="1" topLeftCell="C1" activePane="topRight" state="frozen"/>
      <selection pane="topRight" activeCell="U50" sqref="U50"/>
    </sheetView>
  </sheetViews>
  <sheetFormatPr defaultRowHeight="14.45"/>
  <cols>
    <col min="1" max="1" width="10.7109375" bestFit="1" customWidth="1"/>
    <col min="2" max="2" width="19.5703125" bestFit="1" customWidth="1"/>
    <col min="3" max="3" width="32.140625" bestFit="1" customWidth="1"/>
    <col min="4" max="4" width="26.85546875" customWidth="1"/>
    <col min="5" max="5" width="26.28515625" hidden="1" customWidth="1"/>
    <col min="6" max="6" width="10.7109375" hidden="1" customWidth="1"/>
    <col min="7" max="7" width="11.42578125" hidden="1" customWidth="1"/>
    <col min="8" max="8" width="11.28515625" hidden="1" customWidth="1"/>
    <col min="9" max="9" width="10.7109375" hidden="1" customWidth="1"/>
    <col min="10" max="10" width="0" hidden="1" customWidth="1"/>
    <col min="11" max="11" width="11.85546875" bestFit="1" customWidth="1"/>
    <col min="19" max="19" width="11.28515625" bestFit="1" customWidth="1"/>
    <col min="21" max="21" width="10.5703125" customWidth="1"/>
    <col min="22" max="22" width="13.7109375" bestFit="1" customWidth="1"/>
    <col min="23" max="24" width="14.7109375" bestFit="1" customWidth="1"/>
    <col min="25" max="25" width="12.140625" customWidth="1"/>
  </cols>
  <sheetData>
    <row r="1" spans="1:25">
      <c r="A1" s="44" t="s">
        <v>10</v>
      </c>
    </row>
    <row r="2" spans="1:25" ht="43.5">
      <c r="A2" s="13" t="s">
        <v>186</v>
      </c>
      <c r="B2" s="13" t="s">
        <v>187</v>
      </c>
      <c r="C2" s="13" t="s">
        <v>188</v>
      </c>
      <c r="D2" s="13" t="s">
        <v>189</v>
      </c>
      <c r="E2" s="13" t="s">
        <v>190</v>
      </c>
      <c r="F2" s="13" t="s">
        <v>191</v>
      </c>
      <c r="G2" s="13" t="s">
        <v>192</v>
      </c>
      <c r="H2" s="13" t="s">
        <v>193</v>
      </c>
      <c r="I2" s="13" t="s">
        <v>194</v>
      </c>
      <c r="J2" s="13" t="s">
        <v>195</v>
      </c>
      <c r="K2" s="29" t="s">
        <v>629</v>
      </c>
      <c r="L2" s="28" t="s">
        <v>197</v>
      </c>
      <c r="M2" s="28" t="s">
        <v>198</v>
      </c>
      <c r="N2" s="28" t="s">
        <v>199</v>
      </c>
      <c r="O2" s="28" t="s">
        <v>200</v>
      </c>
      <c r="P2" s="28" t="s">
        <v>201</v>
      </c>
      <c r="Q2" s="29" t="s">
        <v>202</v>
      </c>
      <c r="R2" s="28" t="s">
        <v>203</v>
      </c>
      <c r="S2" s="28" t="s">
        <v>204</v>
      </c>
      <c r="T2" s="28" t="s">
        <v>205</v>
      </c>
      <c r="U2" s="28" t="s">
        <v>206</v>
      </c>
      <c r="V2" s="29" t="s">
        <v>317</v>
      </c>
      <c r="W2" s="29" t="s">
        <v>207</v>
      </c>
      <c r="X2" s="29" t="s">
        <v>208</v>
      </c>
      <c r="Y2" s="29" t="s">
        <v>735</v>
      </c>
    </row>
    <row r="3" spans="1:25">
      <c r="A3" s="9" t="s">
        <v>630</v>
      </c>
      <c r="B3" s="12" t="s">
        <v>631</v>
      </c>
      <c r="C3" s="12" t="s">
        <v>632</v>
      </c>
      <c r="D3" s="9"/>
      <c r="E3" s="9"/>
      <c r="F3" s="9"/>
      <c r="G3" s="9"/>
      <c r="H3" s="9"/>
      <c r="I3" s="9"/>
      <c r="J3" s="9"/>
      <c r="K3" s="26">
        <f>163220.863904/43560</f>
        <v>3.7470354431588615</v>
      </c>
      <c r="L3" s="1">
        <v>0</v>
      </c>
      <c r="M3" s="1">
        <v>0</v>
      </c>
      <c r="N3" s="1">
        <v>0</v>
      </c>
      <c r="O3" s="1">
        <f>K3</f>
        <v>3.7470354431588615</v>
      </c>
      <c r="P3" s="1">
        <v>0</v>
      </c>
      <c r="Q3" s="1">
        <f>(L3*5+M3*80+N3*5+O3*100+P3*2)</f>
        <v>374.70354431588618</v>
      </c>
      <c r="R3" s="47">
        <v>0.62</v>
      </c>
      <c r="S3" s="1">
        <v>1</v>
      </c>
      <c r="T3" s="1">
        <f>Q3*R3*S3</f>
        <v>232.31619747584944</v>
      </c>
      <c r="U3" s="30">
        <f t="shared" ref="U3:U41" si="0">T3/T$50</f>
        <v>0.23576395593686406</v>
      </c>
      <c r="V3" s="46">
        <f>'Work in ROW'!J40</f>
        <v>574690</v>
      </c>
      <c r="W3" s="8">
        <f t="shared" ref="W3:W41" si="1">U3*W$42</f>
        <v>250910.52944757306</v>
      </c>
      <c r="X3" s="8">
        <f>IF(W3&lt;10,10,W3)+V3</f>
        <v>825600.529447573</v>
      </c>
      <c r="Y3" s="31">
        <f>X3/15</f>
        <v>55040.035296504866</v>
      </c>
    </row>
    <row r="4" spans="1:25">
      <c r="A4" s="14" t="s">
        <v>633</v>
      </c>
      <c r="B4" s="14" t="s">
        <v>218</v>
      </c>
      <c r="C4" s="14" t="s">
        <v>634</v>
      </c>
      <c r="D4" s="14"/>
      <c r="E4" s="14" t="s">
        <v>635</v>
      </c>
      <c r="F4" s="14" t="s">
        <v>636</v>
      </c>
      <c r="G4" s="14" t="s">
        <v>634</v>
      </c>
      <c r="H4" s="14"/>
      <c r="I4" s="14" t="s">
        <v>637</v>
      </c>
      <c r="J4" s="14" t="s">
        <v>638</v>
      </c>
      <c r="K4" s="1">
        <v>16.766999999999999</v>
      </c>
      <c r="L4" s="1">
        <v>16.766999999999999</v>
      </c>
      <c r="M4" s="1">
        <v>0</v>
      </c>
      <c r="N4" s="1">
        <v>0</v>
      </c>
      <c r="O4" s="1">
        <v>0</v>
      </c>
      <c r="P4" s="1">
        <v>0</v>
      </c>
      <c r="Q4" s="1">
        <f t="shared" ref="Q4:Q41" si="2">(L4*5+M4*80+N4*5+O4*100+P4*2)</f>
        <v>83.834999999999994</v>
      </c>
      <c r="R4" s="47">
        <v>0.62</v>
      </c>
      <c r="S4" s="1">
        <v>1</v>
      </c>
      <c r="T4" s="1">
        <f t="shared" ref="T4:T41" si="3">Q4*R4*S4</f>
        <v>51.977699999999999</v>
      </c>
      <c r="U4" s="30">
        <f t="shared" si="0"/>
        <v>5.2749090703300867E-2</v>
      </c>
      <c r="V4" s="8">
        <v>0</v>
      </c>
      <c r="W4" s="8">
        <f t="shared" si="1"/>
        <v>56137.937725254305</v>
      </c>
      <c r="X4" s="8">
        <f t="shared" ref="X4:X42" si="4">IF(W4&lt;10,10,W4)+V4</f>
        <v>56137.937725254305</v>
      </c>
      <c r="Y4" s="31">
        <f t="shared" ref="Y4:Y41" si="5">X4/15</f>
        <v>3742.5291816836202</v>
      </c>
    </row>
    <row r="5" spans="1:25">
      <c r="A5" s="14" t="s">
        <v>327</v>
      </c>
      <c r="B5" s="14" t="s">
        <v>328</v>
      </c>
      <c r="C5" s="14" t="s">
        <v>329</v>
      </c>
      <c r="D5" s="14" t="s">
        <v>330</v>
      </c>
      <c r="E5" s="14" t="s">
        <v>328</v>
      </c>
      <c r="F5" s="14" t="s">
        <v>213</v>
      </c>
      <c r="G5" s="14" t="s">
        <v>331</v>
      </c>
      <c r="H5" s="14" t="s">
        <v>332</v>
      </c>
      <c r="I5" s="14" t="s">
        <v>333</v>
      </c>
      <c r="J5" s="14" t="s">
        <v>334</v>
      </c>
      <c r="K5" s="1">
        <v>0.187</v>
      </c>
      <c r="L5" s="1">
        <v>0</v>
      </c>
      <c r="M5" s="1">
        <v>0</v>
      </c>
      <c r="N5" s="1">
        <v>0.187</v>
      </c>
      <c r="O5" s="1">
        <v>0</v>
      </c>
      <c r="P5" s="1">
        <v>0</v>
      </c>
      <c r="Q5" s="1">
        <f t="shared" si="2"/>
        <v>0.93500000000000005</v>
      </c>
      <c r="R5" s="47">
        <v>0.01</v>
      </c>
      <c r="S5" s="1">
        <v>1</v>
      </c>
      <c r="T5" s="1">
        <f t="shared" si="3"/>
        <v>9.3500000000000007E-3</v>
      </c>
      <c r="U5" s="30">
        <f t="shared" si="0"/>
        <v>9.4887614895592375E-6</v>
      </c>
      <c r="V5" s="8">
        <v>0</v>
      </c>
      <c r="W5" s="8">
        <f t="shared" si="1"/>
        <v>10.098363677714248</v>
      </c>
      <c r="X5" s="8">
        <f t="shared" si="4"/>
        <v>10.098363677714248</v>
      </c>
      <c r="Y5" s="31">
        <f t="shared" si="5"/>
        <v>0.67322424518094992</v>
      </c>
    </row>
    <row r="6" spans="1:25">
      <c r="A6" s="14" t="s">
        <v>355</v>
      </c>
      <c r="B6" s="14" t="s">
        <v>356</v>
      </c>
      <c r="C6" s="14" t="s">
        <v>357</v>
      </c>
      <c r="D6" s="14"/>
      <c r="E6" s="14" t="s">
        <v>358</v>
      </c>
      <c r="F6" s="14" t="s">
        <v>359</v>
      </c>
      <c r="G6" s="14" t="s">
        <v>360</v>
      </c>
      <c r="H6" s="14"/>
      <c r="I6" s="14" t="s">
        <v>361</v>
      </c>
      <c r="J6" s="14" t="s">
        <v>362</v>
      </c>
      <c r="K6" s="1">
        <v>1.224</v>
      </c>
      <c r="L6" s="1">
        <v>0</v>
      </c>
      <c r="M6" s="1">
        <v>0.5</v>
      </c>
      <c r="N6" s="1">
        <f>K6-0.5</f>
        <v>0.72399999999999998</v>
      </c>
      <c r="O6" s="1">
        <v>0</v>
      </c>
      <c r="P6" s="1">
        <v>0</v>
      </c>
      <c r="Q6" s="1">
        <f t="shared" si="2"/>
        <v>43.62</v>
      </c>
      <c r="R6" s="47">
        <v>0.62</v>
      </c>
      <c r="S6" s="1">
        <v>1</v>
      </c>
      <c r="T6" s="1">
        <f t="shared" si="3"/>
        <v>27.0444</v>
      </c>
      <c r="U6" s="30">
        <f t="shared" si="0"/>
        <v>2.7445760559169606E-2</v>
      </c>
      <c r="V6" s="8">
        <v>0</v>
      </c>
      <c r="W6" s="8">
        <f t="shared" si="1"/>
        <v>29209.00391931285</v>
      </c>
      <c r="X6" s="8">
        <f t="shared" si="4"/>
        <v>29209.00391931285</v>
      </c>
      <c r="Y6" s="31">
        <f t="shared" si="5"/>
        <v>1947.2669279541901</v>
      </c>
    </row>
    <row r="7" spans="1:25">
      <c r="A7" s="14" t="s">
        <v>639</v>
      </c>
      <c r="B7" s="14" t="s">
        <v>640</v>
      </c>
      <c r="C7" s="14" t="s">
        <v>641</v>
      </c>
      <c r="D7" s="14" t="s">
        <v>642</v>
      </c>
      <c r="E7" s="14" t="s">
        <v>640</v>
      </c>
      <c r="F7" s="14" t="s">
        <v>213</v>
      </c>
      <c r="G7" s="14" t="s">
        <v>243</v>
      </c>
      <c r="H7" s="14"/>
      <c r="I7" s="14" t="s">
        <v>244</v>
      </c>
      <c r="J7" s="14" t="s">
        <v>245</v>
      </c>
      <c r="K7" s="1">
        <v>5.2729999999999997</v>
      </c>
      <c r="L7" s="1">
        <v>0</v>
      </c>
      <c r="M7" s="1">
        <v>0.5</v>
      </c>
      <c r="N7" s="1">
        <f>K7-0.5</f>
        <v>4.7729999999999997</v>
      </c>
      <c r="O7" s="1">
        <v>0</v>
      </c>
      <c r="P7" s="1">
        <v>0</v>
      </c>
      <c r="Q7" s="1">
        <f t="shared" si="2"/>
        <v>63.864999999999995</v>
      </c>
      <c r="R7" s="47">
        <v>0.8</v>
      </c>
      <c r="S7" s="1">
        <v>1</v>
      </c>
      <c r="T7" s="1">
        <f t="shared" si="3"/>
        <v>51.091999999999999</v>
      </c>
      <c r="U7" s="30">
        <f t="shared" si="0"/>
        <v>5.1850246205835351E-2</v>
      </c>
      <c r="V7" s="8">
        <v>0</v>
      </c>
      <c r="W7" s="8">
        <f t="shared" si="1"/>
        <v>55181.347275056287</v>
      </c>
      <c r="X7" s="8">
        <f t="shared" si="4"/>
        <v>55181.347275056287</v>
      </c>
      <c r="Y7" s="31">
        <f t="shared" si="5"/>
        <v>3678.7564850037525</v>
      </c>
    </row>
    <row r="8" spans="1:25">
      <c r="A8" s="14" t="s">
        <v>643</v>
      </c>
      <c r="B8" s="14" t="s">
        <v>644</v>
      </c>
      <c r="C8" s="14" t="s">
        <v>645</v>
      </c>
      <c r="D8" s="14" t="s">
        <v>646</v>
      </c>
      <c r="E8" s="14" t="s">
        <v>644</v>
      </c>
      <c r="F8" s="14" t="s">
        <v>647</v>
      </c>
      <c r="G8" s="14" t="s">
        <v>648</v>
      </c>
      <c r="H8" s="14" t="s">
        <v>649</v>
      </c>
      <c r="I8" s="14" t="s">
        <v>650</v>
      </c>
      <c r="J8" s="14" t="s">
        <v>651</v>
      </c>
      <c r="K8" s="1">
        <v>3.3090000000000002</v>
      </c>
      <c r="L8" s="1">
        <v>2.08</v>
      </c>
      <c r="M8" s="1">
        <v>0.5</v>
      </c>
      <c r="N8" s="1">
        <f>K8-L8-M8</f>
        <v>0.72900000000000009</v>
      </c>
      <c r="O8" s="1">
        <v>0</v>
      </c>
      <c r="P8" s="1">
        <v>0</v>
      </c>
      <c r="Q8" s="1">
        <f t="shared" si="2"/>
        <v>54.045000000000002</v>
      </c>
      <c r="R8" s="47">
        <v>0.28999999999999998</v>
      </c>
      <c r="S8" s="1">
        <v>1</v>
      </c>
      <c r="T8" s="1">
        <f t="shared" si="3"/>
        <v>15.67305</v>
      </c>
      <c r="U8" s="30">
        <f t="shared" si="0"/>
        <v>1.5905650616463787E-2</v>
      </c>
      <c r="V8" s="8">
        <v>0</v>
      </c>
      <c r="W8" s="8">
        <f t="shared" si="1"/>
        <v>16927.503619144307</v>
      </c>
      <c r="X8" s="8">
        <f t="shared" si="4"/>
        <v>16927.503619144307</v>
      </c>
      <c r="Y8" s="31">
        <f t="shared" si="5"/>
        <v>1128.5002412762872</v>
      </c>
    </row>
    <row r="9" spans="1:25">
      <c r="A9" s="14" t="s">
        <v>652</v>
      </c>
      <c r="B9" s="14" t="s">
        <v>653</v>
      </c>
      <c r="C9" s="14" t="s">
        <v>654</v>
      </c>
      <c r="D9" s="14" t="s">
        <v>655</v>
      </c>
      <c r="E9" s="14" t="s">
        <v>653</v>
      </c>
      <c r="F9" s="14" t="s">
        <v>213</v>
      </c>
      <c r="G9" s="14" t="s">
        <v>656</v>
      </c>
      <c r="H9" s="14" t="s">
        <v>657</v>
      </c>
      <c r="I9" s="14" t="s">
        <v>658</v>
      </c>
      <c r="J9" s="14" t="s">
        <v>651</v>
      </c>
      <c r="K9" s="1">
        <v>0.109</v>
      </c>
      <c r="L9" s="1">
        <v>0</v>
      </c>
      <c r="M9" s="1">
        <v>0</v>
      </c>
      <c r="N9" s="1">
        <v>0</v>
      </c>
      <c r="O9" s="1">
        <v>0</v>
      </c>
      <c r="P9" s="1">
        <v>0.109</v>
      </c>
      <c r="Q9" s="1">
        <f t="shared" si="2"/>
        <v>0.218</v>
      </c>
      <c r="R9" s="47">
        <v>0.32</v>
      </c>
      <c r="S9" s="1">
        <v>1</v>
      </c>
      <c r="T9" s="1">
        <f t="shared" si="3"/>
        <v>6.9760000000000003E-2</v>
      </c>
      <c r="U9" s="30">
        <f t="shared" si="0"/>
        <v>7.0795294279321115E-5</v>
      </c>
      <c r="V9" s="8">
        <v>0</v>
      </c>
      <c r="W9" s="8">
        <f t="shared" si="1"/>
        <v>75.3435133858124</v>
      </c>
      <c r="X9" s="8">
        <f t="shared" si="4"/>
        <v>75.3435133858124</v>
      </c>
      <c r="Y9" s="31">
        <f t="shared" si="5"/>
        <v>5.0229008923874936</v>
      </c>
    </row>
    <row r="10" spans="1:25">
      <c r="A10" s="14" t="s">
        <v>376</v>
      </c>
      <c r="B10" s="14" t="s">
        <v>377</v>
      </c>
      <c r="C10" s="14" t="s">
        <v>378</v>
      </c>
      <c r="D10" s="14" t="s">
        <v>379</v>
      </c>
      <c r="E10" s="14" t="s">
        <v>377</v>
      </c>
      <c r="F10" s="14" t="s">
        <v>380</v>
      </c>
      <c r="G10" s="14" t="s">
        <v>381</v>
      </c>
      <c r="H10" s="14" t="s">
        <v>382</v>
      </c>
      <c r="I10" s="14" t="s">
        <v>383</v>
      </c>
      <c r="J10" s="14" t="s">
        <v>384</v>
      </c>
      <c r="K10" s="1">
        <v>0.47699999999999998</v>
      </c>
      <c r="L10" s="1">
        <v>0.47699999999999998</v>
      </c>
      <c r="M10" s="1">
        <v>0</v>
      </c>
      <c r="N10" s="1">
        <v>0</v>
      </c>
      <c r="O10" s="1">
        <v>0</v>
      </c>
      <c r="P10" s="1">
        <v>0</v>
      </c>
      <c r="Q10" s="1">
        <f t="shared" si="2"/>
        <v>2.3849999999999998</v>
      </c>
      <c r="R10" s="47">
        <v>0.15</v>
      </c>
      <c r="S10" s="1">
        <v>1</v>
      </c>
      <c r="T10" s="1">
        <f t="shared" si="3"/>
        <v>0.35774999999999996</v>
      </c>
      <c r="U10" s="30">
        <f t="shared" si="0"/>
        <v>3.6305929656575578E-4</v>
      </c>
      <c r="V10" s="8">
        <v>0</v>
      </c>
      <c r="W10" s="8">
        <f t="shared" si="1"/>
        <v>386.38391504837125</v>
      </c>
      <c r="X10" s="8">
        <f t="shared" si="4"/>
        <v>386.38391504837125</v>
      </c>
      <c r="Y10" s="31">
        <f t="shared" si="5"/>
        <v>25.758927669891417</v>
      </c>
    </row>
    <row r="11" spans="1:25">
      <c r="A11" s="14" t="s">
        <v>400</v>
      </c>
      <c r="B11" s="14" t="s">
        <v>401</v>
      </c>
      <c r="C11" s="14" t="s">
        <v>402</v>
      </c>
      <c r="D11" s="14"/>
      <c r="E11" s="14" t="s">
        <v>401</v>
      </c>
      <c r="F11" s="14" t="s">
        <v>213</v>
      </c>
      <c r="G11" s="14" t="s">
        <v>214</v>
      </c>
      <c r="H11" s="14"/>
      <c r="I11" s="14" t="s">
        <v>215</v>
      </c>
      <c r="J11" s="14" t="s">
        <v>216</v>
      </c>
      <c r="K11" s="1">
        <v>0.46200000000000002</v>
      </c>
      <c r="L11" s="1">
        <v>0.46200000000000002</v>
      </c>
      <c r="M11" s="1">
        <v>0</v>
      </c>
      <c r="N11" s="1">
        <v>0</v>
      </c>
      <c r="O11" s="1">
        <v>0</v>
      </c>
      <c r="P11" s="1">
        <v>0</v>
      </c>
      <c r="Q11" s="1">
        <f t="shared" si="2"/>
        <v>2.31</v>
      </c>
      <c r="R11" s="47">
        <v>0.09</v>
      </c>
      <c r="S11" s="1">
        <v>1</v>
      </c>
      <c r="T11" s="1">
        <f t="shared" si="3"/>
        <v>0.2079</v>
      </c>
      <c r="U11" s="30">
        <f t="shared" si="0"/>
        <v>2.1098540253255244E-4</v>
      </c>
      <c r="V11" s="8">
        <v>0</v>
      </c>
      <c r="W11" s="8">
        <f t="shared" si="1"/>
        <v>224.54008648094032</v>
      </c>
      <c r="X11" s="8">
        <f t="shared" si="4"/>
        <v>224.54008648094032</v>
      </c>
      <c r="Y11" s="31">
        <f t="shared" si="5"/>
        <v>14.969339098729355</v>
      </c>
    </row>
    <row r="12" spans="1:25">
      <c r="A12" s="14" t="s">
        <v>407</v>
      </c>
      <c r="B12" s="14" t="s">
        <v>408</v>
      </c>
      <c r="C12" s="14" t="s">
        <v>409</v>
      </c>
      <c r="D12" s="14" t="s">
        <v>410</v>
      </c>
      <c r="E12" s="14" t="s">
        <v>408</v>
      </c>
      <c r="F12" s="14" t="s">
        <v>213</v>
      </c>
      <c r="G12" s="14" t="s">
        <v>411</v>
      </c>
      <c r="H12" s="14"/>
      <c r="I12" s="14" t="s">
        <v>412</v>
      </c>
      <c r="J12" s="14" t="s">
        <v>384</v>
      </c>
      <c r="K12" s="1">
        <v>0.48199999999999998</v>
      </c>
      <c r="L12" s="1">
        <v>0</v>
      </c>
      <c r="M12" s="1">
        <v>0</v>
      </c>
      <c r="N12" s="1">
        <v>0</v>
      </c>
      <c r="O12" s="1">
        <v>0</v>
      </c>
      <c r="P12" s="1">
        <v>0.48199999999999998</v>
      </c>
      <c r="Q12" s="1">
        <f t="shared" si="2"/>
        <v>0.96399999999999997</v>
      </c>
      <c r="R12" s="47">
        <v>0.2</v>
      </c>
      <c r="S12" s="1">
        <v>1</v>
      </c>
      <c r="T12" s="1">
        <f t="shared" si="3"/>
        <v>0.1928</v>
      </c>
      <c r="U12" s="30">
        <f t="shared" si="0"/>
        <v>1.9566130643711453E-4</v>
      </c>
      <c r="V12" s="8">
        <v>0</v>
      </c>
      <c r="W12" s="8">
        <f t="shared" si="1"/>
        <v>208.23149915115582</v>
      </c>
      <c r="X12" s="8">
        <f t="shared" si="4"/>
        <v>208.23149915115582</v>
      </c>
      <c r="Y12" s="31">
        <f t="shared" si="5"/>
        <v>13.882099943410388</v>
      </c>
    </row>
    <row r="13" spans="1:25">
      <c r="A13" s="14" t="s">
        <v>413</v>
      </c>
      <c r="B13" s="14" t="s">
        <v>414</v>
      </c>
      <c r="C13" s="14" t="s">
        <v>415</v>
      </c>
      <c r="D13" s="14" t="s">
        <v>416</v>
      </c>
      <c r="E13" s="14" t="s">
        <v>414</v>
      </c>
      <c r="F13" s="14" t="s">
        <v>213</v>
      </c>
      <c r="G13" s="14" t="s">
        <v>214</v>
      </c>
      <c r="H13" s="14"/>
      <c r="I13" s="14" t="s">
        <v>215</v>
      </c>
      <c r="J13" s="14" t="s">
        <v>216</v>
      </c>
      <c r="K13" s="1">
        <v>0.40400000000000003</v>
      </c>
      <c r="L13" s="1">
        <v>0.40400000000000003</v>
      </c>
      <c r="M13" s="1">
        <v>0</v>
      </c>
      <c r="N13" s="1">
        <v>0</v>
      </c>
      <c r="O13" s="1">
        <v>0</v>
      </c>
      <c r="P13" s="1">
        <v>0</v>
      </c>
      <c r="Q13" s="1">
        <f t="shared" si="2"/>
        <v>2.02</v>
      </c>
      <c r="R13" s="47">
        <v>0.06</v>
      </c>
      <c r="S13" s="1">
        <v>1</v>
      </c>
      <c r="T13" s="1">
        <f t="shared" si="3"/>
        <v>0.1212</v>
      </c>
      <c r="U13" s="30">
        <f t="shared" si="0"/>
        <v>1.2299870508391224E-4</v>
      </c>
      <c r="V13" s="8">
        <v>0</v>
      </c>
      <c r="W13" s="8">
        <f t="shared" si="1"/>
        <v>130.90071419668092</v>
      </c>
      <c r="X13" s="8">
        <f t="shared" si="4"/>
        <v>130.90071419668092</v>
      </c>
      <c r="Y13" s="31">
        <f t="shared" si="5"/>
        <v>8.7267142797787276</v>
      </c>
    </row>
    <row r="14" spans="1:25">
      <c r="A14" s="14" t="s">
        <v>230</v>
      </c>
      <c r="B14" s="14" t="s">
        <v>231</v>
      </c>
      <c r="C14" s="14" t="s">
        <v>232</v>
      </c>
      <c r="D14" s="14" t="s">
        <v>233</v>
      </c>
      <c r="E14" s="14" t="s">
        <v>231</v>
      </c>
      <c r="F14" s="14" t="s">
        <v>234</v>
      </c>
      <c r="G14" s="14" t="s">
        <v>235</v>
      </c>
      <c r="H14" s="14"/>
      <c r="I14" s="14" t="s">
        <v>236</v>
      </c>
      <c r="J14" s="14" t="s">
        <v>237</v>
      </c>
      <c r="K14" s="1">
        <v>4.3639999999999999</v>
      </c>
      <c r="L14" s="1">
        <v>0</v>
      </c>
      <c r="M14" s="1">
        <v>0</v>
      </c>
      <c r="N14" s="1">
        <v>0</v>
      </c>
      <c r="O14" s="1">
        <v>0</v>
      </c>
      <c r="P14" s="1">
        <v>4.3639999999999999</v>
      </c>
      <c r="Q14" s="1">
        <f t="shared" si="2"/>
        <v>8.7279999999999998</v>
      </c>
      <c r="R14" s="47">
        <v>0.15</v>
      </c>
      <c r="S14" s="1">
        <v>1</v>
      </c>
      <c r="T14" s="1">
        <f t="shared" si="3"/>
        <v>1.3091999999999999</v>
      </c>
      <c r="U14" s="30">
        <f t="shared" si="0"/>
        <v>1.3286295766984976E-3</v>
      </c>
      <c r="V14" s="8">
        <v>0</v>
      </c>
      <c r="W14" s="8">
        <f t="shared" si="1"/>
        <v>1413.9869226591968</v>
      </c>
      <c r="X14" s="8">
        <f t="shared" si="4"/>
        <v>1413.9869226591968</v>
      </c>
      <c r="Y14" s="31">
        <f t="shared" si="5"/>
        <v>94.265794843946452</v>
      </c>
    </row>
    <row r="15" spans="1:25">
      <c r="A15" s="14" t="s">
        <v>417</v>
      </c>
      <c r="B15" s="14" t="s">
        <v>418</v>
      </c>
      <c r="C15" s="14" t="s">
        <v>419</v>
      </c>
      <c r="D15" s="14" t="s">
        <v>420</v>
      </c>
      <c r="E15" s="14" t="s">
        <v>418</v>
      </c>
      <c r="F15" s="14" t="s">
        <v>380</v>
      </c>
      <c r="G15" s="14" t="s">
        <v>421</v>
      </c>
      <c r="H15" s="14"/>
      <c r="I15" s="14" t="s">
        <v>422</v>
      </c>
      <c r="J15" s="14" t="s">
        <v>384</v>
      </c>
      <c r="K15" s="1">
        <v>0.47099999999999997</v>
      </c>
      <c r="L15" s="1">
        <v>0</v>
      </c>
      <c r="M15" s="1">
        <v>0</v>
      </c>
      <c r="N15" s="1">
        <v>0.47099999999999997</v>
      </c>
      <c r="O15" s="1">
        <v>0</v>
      </c>
      <c r="P15" s="1">
        <v>0</v>
      </c>
      <c r="Q15" s="1">
        <f t="shared" si="2"/>
        <v>2.355</v>
      </c>
      <c r="R15" s="47">
        <v>0.13</v>
      </c>
      <c r="S15" s="1">
        <v>1</v>
      </c>
      <c r="T15" s="1">
        <f t="shared" si="3"/>
        <v>0.30615000000000003</v>
      </c>
      <c r="U15" s="30">
        <f t="shared" si="0"/>
        <v>3.1069351123300115E-4</v>
      </c>
      <c r="V15" s="8">
        <v>0</v>
      </c>
      <c r="W15" s="8">
        <f t="shared" si="1"/>
        <v>330.65390801414088</v>
      </c>
      <c r="X15" s="8">
        <f t="shared" si="4"/>
        <v>330.65390801414088</v>
      </c>
      <c r="Y15" s="31">
        <f t="shared" si="5"/>
        <v>22.043593867609392</v>
      </c>
    </row>
    <row r="16" spans="1:25">
      <c r="A16" s="14" t="s">
        <v>423</v>
      </c>
      <c r="B16" s="14" t="s">
        <v>424</v>
      </c>
      <c r="C16" s="14" t="s">
        <v>425</v>
      </c>
      <c r="D16" s="14"/>
      <c r="E16" s="14" t="s">
        <v>424</v>
      </c>
      <c r="F16" s="14" t="s">
        <v>213</v>
      </c>
      <c r="G16" s="14" t="s">
        <v>426</v>
      </c>
      <c r="H16" s="14"/>
      <c r="I16" s="14" t="s">
        <v>427</v>
      </c>
      <c r="J16" s="14" t="s">
        <v>384</v>
      </c>
      <c r="K16" s="1">
        <v>0.48</v>
      </c>
      <c r="L16" s="1">
        <v>0.48</v>
      </c>
      <c r="M16" s="1">
        <v>0</v>
      </c>
      <c r="N16" s="1">
        <v>0</v>
      </c>
      <c r="O16" s="1">
        <v>0</v>
      </c>
      <c r="P16" s="1">
        <v>0</v>
      </c>
      <c r="Q16" s="1">
        <f t="shared" si="2"/>
        <v>2.4</v>
      </c>
      <c r="R16" s="47">
        <v>0.1</v>
      </c>
      <c r="S16" s="1">
        <v>1</v>
      </c>
      <c r="T16" s="1">
        <f t="shared" si="3"/>
        <v>0.24</v>
      </c>
      <c r="U16" s="30">
        <f t="shared" si="0"/>
        <v>2.4356179224537078E-4</v>
      </c>
      <c r="V16" s="8">
        <v>0</v>
      </c>
      <c r="W16" s="8">
        <f t="shared" si="1"/>
        <v>259.20933504293254</v>
      </c>
      <c r="X16" s="8">
        <f t="shared" si="4"/>
        <v>259.20933504293254</v>
      </c>
      <c r="Y16" s="31">
        <f t="shared" si="5"/>
        <v>17.280622336195503</v>
      </c>
    </row>
    <row r="17" spans="1:25">
      <c r="A17" s="14" t="s">
        <v>251</v>
      </c>
      <c r="B17" s="14" t="s">
        <v>252</v>
      </c>
      <c r="C17" s="14" t="s">
        <v>253</v>
      </c>
      <c r="D17" s="14"/>
      <c r="E17" s="14" t="s">
        <v>252</v>
      </c>
      <c r="F17" s="14" t="s">
        <v>213</v>
      </c>
      <c r="G17" s="14" t="s">
        <v>254</v>
      </c>
      <c r="H17" s="14"/>
      <c r="I17" s="14" t="s">
        <v>255</v>
      </c>
      <c r="J17" s="14" t="s">
        <v>237</v>
      </c>
      <c r="K17" s="1">
        <v>0.59299999999999997</v>
      </c>
      <c r="L17" s="1">
        <v>0</v>
      </c>
      <c r="M17" s="1">
        <v>0</v>
      </c>
      <c r="N17" s="1">
        <v>0.59299999999999997</v>
      </c>
      <c r="O17" s="1">
        <v>0</v>
      </c>
      <c r="P17" s="1">
        <v>0</v>
      </c>
      <c r="Q17" s="1">
        <f t="shared" si="2"/>
        <v>2.9649999999999999</v>
      </c>
      <c r="R17" s="47">
        <v>0.05</v>
      </c>
      <c r="S17" s="1">
        <v>1</v>
      </c>
      <c r="T17" s="1">
        <f t="shared" si="3"/>
        <v>0.14824999999999999</v>
      </c>
      <c r="U17" s="30">
        <f t="shared" si="0"/>
        <v>1.5045014875156757E-4</v>
      </c>
      <c r="V17" s="8">
        <v>0</v>
      </c>
      <c r="W17" s="8">
        <f t="shared" si="1"/>
        <v>160.11576633381145</v>
      </c>
      <c r="X17" s="8">
        <f t="shared" si="4"/>
        <v>160.11576633381145</v>
      </c>
      <c r="Y17" s="31">
        <f t="shared" si="5"/>
        <v>10.674384422254096</v>
      </c>
    </row>
    <row r="18" spans="1:25">
      <c r="A18" s="14" t="s">
        <v>428</v>
      </c>
      <c r="B18" s="14" t="s">
        <v>429</v>
      </c>
      <c r="C18" s="14" t="s">
        <v>430</v>
      </c>
      <c r="D18" s="14" t="s">
        <v>431</v>
      </c>
      <c r="E18" s="14" t="s">
        <v>429</v>
      </c>
      <c r="F18" s="14" t="s">
        <v>213</v>
      </c>
      <c r="G18" s="14" t="s">
        <v>432</v>
      </c>
      <c r="H18" s="14" t="s">
        <v>433</v>
      </c>
      <c r="I18" s="14" t="s">
        <v>434</v>
      </c>
      <c r="J18" s="14" t="s">
        <v>435</v>
      </c>
      <c r="K18" s="1">
        <v>0.309</v>
      </c>
      <c r="L18" s="1">
        <v>0</v>
      </c>
      <c r="M18" s="1">
        <v>0</v>
      </c>
      <c r="N18" s="1">
        <v>0.309</v>
      </c>
      <c r="O18" s="1">
        <v>0</v>
      </c>
      <c r="P18" s="1">
        <v>0</v>
      </c>
      <c r="Q18" s="1">
        <f t="shared" si="2"/>
        <v>1.5449999999999999</v>
      </c>
      <c r="R18" s="47">
        <v>0.03</v>
      </c>
      <c r="S18" s="1">
        <v>1</v>
      </c>
      <c r="T18" s="1">
        <f t="shared" si="3"/>
        <v>4.6349999999999995E-2</v>
      </c>
      <c r="U18" s="30">
        <f t="shared" si="0"/>
        <v>4.7037871127387229E-5</v>
      </c>
      <c r="V18" s="8">
        <v>0</v>
      </c>
      <c r="W18" s="8">
        <f t="shared" si="1"/>
        <v>50.05980283016634</v>
      </c>
      <c r="X18" s="8">
        <f t="shared" si="4"/>
        <v>50.05980283016634</v>
      </c>
      <c r="Y18" s="31">
        <f t="shared" si="5"/>
        <v>3.3373201886777561</v>
      </c>
    </row>
    <row r="19" spans="1:25">
      <c r="A19" s="14" t="s">
        <v>256</v>
      </c>
      <c r="B19" s="14" t="s">
        <v>257</v>
      </c>
      <c r="C19" s="14" t="s">
        <v>258</v>
      </c>
      <c r="D19" s="14"/>
      <c r="E19" s="14" t="s">
        <v>257</v>
      </c>
      <c r="F19" s="14" t="s">
        <v>213</v>
      </c>
      <c r="G19" s="14" t="s">
        <v>214</v>
      </c>
      <c r="H19" s="14"/>
      <c r="I19" s="14" t="s">
        <v>215</v>
      </c>
      <c r="J19" s="14" t="s">
        <v>216</v>
      </c>
      <c r="K19" s="1">
        <v>0.72499999999999998</v>
      </c>
      <c r="L19" s="1">
        <v>0</v>
      </c>
      <c r="M19" s="1">
        <v>0.5</v>
      </c>
      <c r="N19" s="1">
        <v>0.22500000000000001</v>
      </c>
      <c r="O19" s="1">
        <v>0</v>
      </c>
      <c r="P19" s="1">
        <v>0</v>
      </c>
      <c r="Q19" s="1">
        <f t="shared" si="2"/>
        <v>41.125</v>
      </c>
      <c r="R19" s="47">
        <v>0.09</v>
      </c>
      <c r="S19" s="1">
        <v>1</v>
      </c>
      <c r="T19" s="1">
        <f t="shared" si="3"/>
        <v>3.7012499999999999</v>
      </c>
      <c r="U19" s="30">
        <f t="shared" si="0"/>
        <v>3.7561795147840775E-3</v>
      </c>
      <c r="V19" s="8">
        <v>0</v>
      </c>
      <c r="W19" s="8">
        <f t="shared" si="1"/>
        <v>3997.4939638652249</v>
      </c>
      <c r="X19" s="8">
        <f t="shared" si="4"/>
        <v>3997.4939638652249</v>
      </c>
      <c r="Y19" s="31">
        <f t="shared" si="5"/>
        <v>266.499597591015</v>
      </c>
    </row>
    <row r="20" spans="1:25">
      <c r="A20" s="14" t="s">
        <v>266</v>
      </c>
      <c r="B20" s="14" t="s">
        <v>267</v>
      </c>
      <c r="C20" s="14" t="s">
        <v>268</v>
      </c>
      <c r="D20" s="14" t="s">
        <v>269</v>
      </c>
      <c r="E20" s="14" t="s">
        <v>267</v>
      </c>
      <c r="F20" s="14" t="s">
        <v>213</v>
      </c>
      <c r="G20" s="14" t="s">
        <v>214</v>
      </c>
      <c r="H20" s="14"/>
      <c r="I20" s="14" t="s">
        <v>215</v>
      </c>
      <c r="J20" s="14" t="s">
        <v>216</v>
      </c>
      <c r="K20" s="1">
        <v>0.14199999999999999</v>
      </c>
      <c r="L20" s="1">
        <v>0</v>
      </c>
      <c r="M20" s="1">
        <v>0</v>
      </c>
      <c r="N20" s="1">
        <v>0.14199999999999999</v>
      </c>
      <c r="O20" s="1">
        <v>0</v>
      </c>
      <c r="P20" s="1">
        <v>0</v>
      </c>
      <c r="Q20" s="1">
        <f t="shared" si="2"/>
        <v>0.71</v>
      </c>
      <c r="R20" s="47">
        <v>7.0000000000000007E-2</v>
      </c>
      <c r="S20" s="1">
        <v>1</v>
      </c>
      <c r="T20" s="1">
        <f t="shared" si="3"/>
        <v>4.9700000000000001E-2</v>
      </c>
      <c r="U20" s="30">
        <f t="shared" si="0"/>
        <v>5.0437587810812203E-5</v>
      </c>
      <c r="V20" s="8">
        <v>0</v>
      </c>
      <c r="W20" s="8">
        <f t="shared" si="1"/>
        <v>53.677933131807286</v>
      </c>
      <c r="X20" s="8">
        <f t="shared" si="4"/>
        <v>53.677933131807286</v>
      </c>
      <c r="Y20" s="31">
        <f t="shared" si="5"/>
        <v>3.5785288754538191</v>
      </c>
    </row>
    <row r="21" spans="1:25">
      <c r="A21" s="14" t="s">
        <v>659</v>
      </c>
      <c r="B21" s="14" t="s">
        <v>660</v>
      </c>
      <c r="C21" s="14" t="s">
        <v>661</v>
      </c>
      <c r="D21" s="14" t="s">
        <v>662</v>
      </c>
      <c r="E21" s="14" t="s">
        <v>660</v>
      </c>
      <c r="F21" s="14" t="s">
        <v>213</v>
      </c>
      <c r="G21" s="14" t="s">
        <v>243</v>
      </c>
      <c r="H21" s="14"/>
      <c r="I21" s="14" t="s">
        <v>244</v>
      </c>
      <c r="J21" s="14" t="s">
        <v>245</v>
      </c>
      <c r="K21" s="1">
        <v>2.52</v>
      </c>
      <c r="L21" s="1">
        <v>0</v>
      </c>
      <c r="M21" s="1">
        <v>0.5</v>
      </c>
      <c r="N21" s="1">
        <v>2.02</v>
      </c>
      <c r="O21" s="1">
        <v>0</v>
      </c>
      <c r="P21" s="1">
        <v>0</v>
      </c>
      <c r="Q21" s="1">
        <f t="shared" si="2"/>
        <v>50.1</v>
      </c>
      <c r="R21" s="47">
        <v>0.4</v>
      </c>
      <c r="S21" s="1">
        <v>1</v>
      </c>
      <c r="T21" s="1">
        <f t="shared" si="3"/>
        <v>20.040000000000003</v>
      </c>
      <c r="U21" s="30">
        <f t="shared" si="0"/>
        <v>2.0337409652488463E-2</v>
      </c>
      <c r="V21" s="8">
        <v>0</v>
      </c>
      <c r="W21" s="8">
        <f t="shared" si="1"/>
        <v>21643.979476084871</v>
      </c>
      <c r="X21" s="8">
        <f t="shared" si="4"/>
        <v>21643.979476084871</v>
      </c>
      <c r="Y21" s="31">
        <f t="shared" si="5"/>
        <v>1442.9319650723248</v>
      </c>
    </row>
    <row r="22" spans="1:25">
      <c r="A22" s="14" t="s">
        <v>663</v>
      </c>
      <c r="B22" s="14" t="s">
        <v>664</v>
      </c>
      <c r="C22" s="14" t="s">
        <v>665</v>
      </c>
      <c r="D22" s="14" t="s">
        <v>666</v>
      </c>
      <c r="E22" s="14"/>
      <c r="F22" s="14"/>
      <c r="G22" s="14" t="s">
        <v>667</v>
      </c>
      <c r="H22" s="14" t="s">
        <v>668</v>
      </c>
      <c r="I22" s="14" t="s">
        <v>669</v>
      </c>
      <c r="J22" s="14" t="s">
        <v>670</v>
      </c>
      <c r="K22" s="1">
        <v>2.8290000000000002</v>
      </c>
      <c r="L22" s="1">
        <v>0</v>
      </c>
      <c r="M22" s="1">
        <v>0.5</v>
      </c>
      <c r="N22" s="1">
        <v>2.3290000000000002</v>
      </c>
      <c r="O22" s="1">
        <v>0</v>
      </c>
      <c r="P22" s="1">
        <v>0</v>
      </c>
      <c r="Q22" s="1">
        <f t="shared" si="2"/>
        <v>51.645000000000003</v>
      </c>
      <c r="R22" s="47">
        <v>0.4</v>
      </c>
      <c r="S22" s="1">
        <v>1</v>
      </c>
      <c r="T22" s="1">
        <f t="shared" si="3"/>
        <v>20.658000000000001</v>
      </c>
      <c r="U22" s="30">
        <f t="shared" si="0"/>
        <v>2.096458126752029E-2</v>
      </c>
      <c r="V22" s="8">
        <v>0</v>
      </c>
      <c r="W22" s="8">
        <f t="shared" si="1"/>
        <v>22311.443513820417</v>
      </c>
      <c r="X22" s="8">
        <f t="shared" si="4"/>
        <v>22311.443513820417</v>
      </c>
      <c r="Y22" s="31">
        <f t="shared" si="5"/>
        <v>1487.4295675880278</v>
      </c>
    </row>
    <row r="23" spans="1:25">
      <c r="A23" s="14" t="s">
        <v>671</v>
      </c>
      <c r="B23" s="14" t="s">
        <v>672</v>
      </c>
      <c r="C23" s="14" t="s">
        <v>673</v>
      </c>
      <c r="D23" s="14"/>
      <c r="E23" s="14" t="s">
        <v>674</v>
      </c>
      <c r="F23" s="14" t="s">
        <v>675</v>
      </c>
      <c r="G23" s="14" t="s">
        <v>214</v>
      </c>
      <c r="H23" s="14"/>
      <c r="I23" s="14" t="s">
        <v>215</v>
      </c>
      <c r="J23" s="14" t="s">
        <v>216</v>
      </c>
      <c r="K23" s="1">
        <v>1.212</v>
      </c>
      <c r="L23" s="1">
        <v>0</v>
      </c>
      <c r="M23" s="1">
        <v>0.5</v>
      </c>
      <c r="N23" s="1">
        <f>K23-0.5</f>
        <v>0.71199999999999997</v>
      </c>
      <c r="O23" s="1">
        <v>0</v>
      </c>
      <c r="P23" s="1">
        <v>0</v>
      </c>
      <c r="Q23" s="1">
        <f t="shared" si="2"/>
        <v>43.56</v>
      </c>
      <c r="R23" s="47">
        <v>0.32</v>
      </c>
      <c r="S23" s="1">
        <v>1</v>
      </c>
      <c r="T23" s="1">
        <f t="shared" si="3"/>
        <v>13.939200000000001</v>
      </c>
      <c r="U23" s="30">
        <f t="shared" si="0"/>
        <v>1.4146068893611136E-2</v>
      </c>
      <c r="V23" s="8">
        <v>0</v>
      </c>
      <c r="W23" s="8">
        <f t="shared" si="1"/>
        <v>15054.878179293522</v>
      </c>
      <c r="X23" s="8">
        <f t="shared" si="4"/>
        <v>15054.878179293522</v>
      </c>
      <c r="Y23" s="31">
        <f t="shared" si="5"/>
        <v>1003.6585452862348</v>
      </c>
    </row>
    <row r="24" spans="1:25">
      <c r="A24" s="14" t="s">
        <v>676</v>
      </c>
      <c r="B24" s="14" t="s">
        <v>677</v>
      </c>
      <c r="C24" s="14" t="s">
        <v>678</v>
      </c>
      <c r="D24" s="14" t="s">
        <v>679</v>
      </c>
      <c r="E24" s="14" t="s">
        <v>677</v>
      </c>
      <c r="F24" s="14" t="s">
        <v>213</v>
      </c>
      <c r="G24" s="14" t="s">
        <v>680</v>
      </c>
      <c r="H24" s="14" t="s">
        <v>681</v>
      </c>
      <c r="I24" s="14" t="s">
        <v>682</v>
      </c>
      <c r="J24" s="14" t="s">
        <v>683</v>
      </c>
      <c r="K24" s="1">
        <v>1.1970000000000001</v>
      </c>
      <c r="L24" s="1">
        <v>0</v>
      </c>
      <c r="M24" s="1">
        <v>0.5</v>
      </c>
      <c r="N24" s="1">
        <f>K24-0.5</f>
        <v>0.69700000000000006</v>
      </c>
      <c r="O24" s="1">
        <v>0</v>
      </c>
      <c r="P24" s="1">
        <v>0</v>
      </c>
      <c r="Q24" s="1">
        <f t="shared" si="2"/>
        <v>43.484999999999999</v>
      </c>
      <c r="R24" s="47">
        <v>0.32</v>
      </c>
      <c r="S24" s="1">
        <v>1</v>
      </c>
      <c r="T24" s="1">
        <f t="shared" si="3"/>
        <v>13.9152</v>
      </c>
      <c r="U24" s="30">
        <f t="shared" si="0"/>
        <v>1.4121712714386598E-2</v>
      </c>
      <c r="V24" s="8">
        <v>0</v>
      </c>
      <c r="W24" s="8">
        <f t="shared" si="1"/>
        <v>15028.957245789228</v>
      </c>
      <c r="X24" s="8">
        <f t="shared" si="4"/>
        <v>15028.957245789228</v>
      </c>
      <c r="Y24" s="31">
        <f t="shared" si="5"/>
        <v>1001.9304830526152</v>
      </c>
    </row>
    <row r="25" spans="1:25">
      <c r="A25" s="14" t="s">
        <v>494</v>
      </c>
      <c r="B25" s="14" t="s">
        <v>218</v>
      </c>
      <c r="C25" s="14" t="s">
        <v>495</v>
      </c>
      <c r="D25" s="14" t="s">
        <v>496</v>
      </c>
      <c r="E25" s="14" t="s">
        <v>497</v>
      </c>
      <c r="F25" s="14" t="s">
        <v>213</v>
      </c>
      <c r="G25" s="14" t="s">
        <v>498</v>
      </c>
      <c r="H25" s="14" t="s">
        <v>499</v>
      </c>
      <c r="I25" s="14" t="s">
        <v>500</v>
      </c>
      <c r="J25" s="14" t="s">
        <v>501</v>
      </c>
      <c r="K25" s="1">
        <v>26.791</v>
      </c>
      <c r="L25" s="1">
        <v>26.791</v>
      </c>
      <c r="M25" s="1">
        <v>0</v>
      </c>
      <c r="N25" s="1">
        <v>0</v>
      </c>
      <c r="O25" s="1">
        <v>0</v>
      </c>
      <c r="P25" s="1">
        <v>0</v>
      </c>
      <c r="Q25" s="1">
        <f t="shared" si="2"/>
        <v>133.95500000000001</v>
      </c>
      <c r="R25" s="47">
        <v>0.48</v>
      </c>
      <c r="S25" s="1">
        <v>1</v>
      </c>
      <c r="T25" s="1">
        <f t="shared" si="3"/>
        <v>64.298400000000001</v>
      </c>
      <c r="U25" s="30">
        <f t="shared" si="0"/>
        <v>6.5252639760457282E-2</v>
      </c>
      <c r="V25" s="8">
        <v>0</v>
      </c>
      <c r="W25" s="8">
        <f t="shared" si="1"/>
        <v>69444.772951352046</v>
      </c>
      <c r="X25" s="8">
        <f t="shared" si="4"/>
        <v>69444.772951352046</v>
      </c>
      <c r="Y25" s="31">
        <f t="shared" si="5"/>
        <v>4629.6515300901365</v>
      </c>
    </row>
    <row r="26" spans="1:25">
      <c r="A26" s="14" t="s">
        <v>534</v>
      </c>
      <c r="B26" s="14" t="s">
        <v>535</v>
      </c>
      <c r="C26" s="14" t="s">
        <v>536</v>
      </c>
      <c r="D26" s="14" t="s">
        <v>537</v>
      </c>
      <c r="E26" s="14"/>
      <c r="F26" s="14"/>
      <c r="G26" s="14" t="s">
        <v>538</v>
      </c>
      <c r="H26" s="14"/>
      <c r="I26" s="14" t="s">
        <v>539</v>
      </c>
      <c r="J26" s="14" t="s">
        <v>384</v>
      </c>
      <c r="K26" s="1">
        <v>0.40699999999999997</v>
      </c>
      <c r="L26" s="1">
        <v>0.40699999999999997</v>
      </c>
      <c r="M26" s="1">
        <v>0</v>
      </c>
      <c r="N26" s="1">
        <v>0</v>
      </c>
      <c r="O26" s="1">
        <v>0</v>
      </c>
      <c r="P26" s="1">
        <v>0</v>
      </c>
      <c r="Q26" s="1">
        <f t="shared" si="2"/>
        <v>2.0349999999999997</v>
      </c>
      <c r="R26" s="47">
        <v>0.35</v>
      </c>
      <c r="S26" s="1">
        <v>1</v>
      </c>
      <c r="T26" s="1">
        <f t="shared" si="3"/>
        <v>0.71224999999999983</v>
      </c>
      <c r="U26" s="30">
        <f t="shared" si="0"/>
        <v>7.2282036052818879E-4</v>
      </c>
      <c r="V26" s="8">
        <v>0</v>
      </c>
      <c r="W26" s="8">
        <f t="shared" si="1"/>
        <v>769.25770368470273</v>
      </c>
      <c r="X26" s="8">
        <f t="shared" si="4"/>
        <v>769.25770368470273</v>
      </c>
      <c r="Y26" s="31">
        <f t="shared" si="5"/>
        <v>51.283846912313514</v>
      </c>
    </row>
    <row r="27" spans="1:25">
      <c r="A27" s="14" t="s">
        <v>546</v>
      </c>
      <c r="B27" s="14" t="s">
        <v>547</v>
      </c>
      <c r="C27" s="14" t="s">
        <v>548</v>
      </c>
      <c r="D27" s="14" t="s">
        <v>549</v>
      </c>
      <c r="E27" s="14" t="s">
        <v>547</v>
      </c>
      <c r="F27" s="14" t="s">
        <v>213</v>
      </c>
      <c r="G27" s="14" t="s">
        <v>214</v>
      </c>
      <c r="H27" s="14"/>
      <c r="I27" s="14" t="s">
        <v>215</v>
      </c>
      <c r="J27" s="14" t="s">
        <v>216</v>
      </c>
      <c r="K27" s="1">
        <v>0.498</v>
      </c>
      <c r="L27" s="1">
        <v>0</v>
      </c>
      <c r="M27" s="1">
        <v>0</v>
      </c>
      <c r="N27" s="1">
        <v>0.498</v>
      </c>
      <c r="O27" s="1">
        <v>0</v>
      </c>
      <c r="P27" s="1">
        <v>0</v>
      </c>
      <c r="Q27" s="1">
        <f t="shared" si="2"/>
        <v>2.4900000000000002</v>
      </c>
      <c r="R27" s="47">
        <v>0.52</v>
      </c>
      <c r="S27" s="1">
        <v>1</v>
      </c>
      <c r="T27" s="1">
        <f t="shared" si="3"/>
        <v>1.2948000000000002</v>
      </c>
      <c r="U27" s="30">
        <f t="shared" si="0"/>
        <v>1.3140158691637754E-3</v>
      </c>
      <c r="V27" s="8">
        <v>0</v>
      </c>
      <c r="W27" s="8">
        <f t="shared" si="1"/>
        <v>1398.4343625566212</v>
      </c>
      <c r="X27" s="8">
        <f t="shared" si="4"/>
        <v>1398.4343625566212</v>
      </c>
      <c r="Y27" s="31">
        <f t="shared" si="5"/>
        <v>93.228957503774751</v>
      </c>
    </row>
    <row r="28" spans="1:25">
      <c r="A28" s="14" t="s">
        <v>550</v>
      </c>
      <c r="B28" s="14" t="s">
        <v>445</v>
      </c>
      <c r="C28" s="14" t="s">
        <v>232</v>
      </c>
      <c r="D28" s="14" t="s">
        <v>233</v>
      </c>
      <c r="E28" s="14" t="s">
        <v>231</v>
      </c>
      <c r="F28" s="14" t="s">
        <v>326</v>
      </c>
      <c r="G28" s="14" t="s">
        <v>551</v>
      </c>
      <c r="H28" s="14"/>
      <c r="I28" s="14" t="s">
        <v>236</v>
      </c>
      <c r="J28" s="14" t="s">
        <v>237</v>
      </c>
      <c r="K28" s="1">
        <v>0.59599999999999997</v>
      </c>
      <c r="L28" s="1">
        <v>0.59599999999999997</v>
      </c>
      <c r="M28" s="1">
        <v>0</v>
      </c>
      <c r="N28" s="1">
        <v>0</v>
      </c>
      <c r="O28" s="1">
        <v>0</v>
      </c>
      <c r="P28" s="1">
        <v>0</v>
      </c>
      <c r="Q28" s="1">
        <f t="shared" si="2"/>
        <v>2.98</v>
      </c>
      <c r="R28" s="47">
        <v>0.57999999999999996</v>
      </c>
      <c r="S28" s="1">
        <v>1</v>
      </c>
      <c r="T28" s="1">
        <f t="shared" si="3"/>
        <v>1.7283999999999999</v>
      </c>
      <c r="U28" s="30">
        <f t="shared" si="0"/>
        <v>1.7540508404870784E-3</v>
      </c>
      <c r="V28" s="8">
        <v>0</v>
      </c>
      <c r="W28" s="8">
        <f t="shared" si="1"/>
        <v>1866.739227867519</v>
      </c>
      <c r="X28" s="8">
        <f t="shared" si="4"/>
        <v>1866.739227867519</v>
      </c>
      <c r="Y28" s="31">
        <f t="shared" si="5"/>
        <v>124.44928185783461</v>
      </c>
    </row>
    <row r="29" spans="1:25">
      <c r="A29" s="14" t="s">
        <v>552</v>
      </c>
      <c r="B29" s="14" t="s">
        <v>553</v>
      </c>
      <c r="C29" s="14" t="s">
        <v>554</v>
      </c>
      <c r="D29" s="14" t="s">
        <v>555</v>
      </c>
      <c r="E29" s="14" t="s">
        <v>556</v>
      </c>
      <c r="F29" s="14" t="s">
        <v>213</v>
      </c>
      <c r="G29" s="14" t="s">
        <v>557</v>
      </c>
      <c r="H29" s="14"/>
      <c r="I29" s="14" t="s">
        <v>558</v>
      </c>
      <c r="J29" s="14" t="s">
        <v>559</v>
      </c>
      <c r="K29" s="1">
        <v>0.88100000000000001</v>
      </c>
      <c r="L29" s="1">
        <v>0.35</v>
      </c>
      <c r="M29" s="1">
        <v>0</v>
      </c>
      <c r="N29" s="1">
        <f>K29-L29</f>
        <v>0.53100000000000003</v>
      </c>
      <c r="O29" s="1">
        <v>0</v>
      </c>
      <c r="P29" s="1">
        <v>0</v>
      </c>
      <c r="Q29" s="1">
        <f t="shared" si="2"/>
        <v>4.4050000000000002</v>
      </c>
      <c r="R29" s="47">
        <v>0.43</v>
      </c>
      <c r="S29" s="1">
        <v>1</v>
      </c>
      <c r="T29" s="1">
        <f t="shared" si="3"/>
        <v>1.89415</v>
      </c>
      <c r="U29" s="30">
        <f t="shared" si="0"/>
        <v>1.9222607032565377E-3</v>
      </c>
      <c r="V29" s="8">
        <v>0</v>
      </c>
      <c r="W29" s="8">
        <f t="shared" si="1"/>
        <v>2045.7556748815443</v>
      </c>
      <c r="X29" s="8">
        <f t="shared" si="4"/>
        <v>2045.7556748815443</v>
      </c>
      <c r="Y29" s="31">
        <f t="shared" si="5"/>
        <v>136.38371165876961</v>
      </c>
    </row>
    <row r="30" spans="1:25">
      <c r="A30" s="14" t="s">
        <v>684</v>
      </c>
      <c r="B30" s="14" t="s">
        <v>685</v>
      </c>
      <c r="C30" s="14" t="s">
        <v>686</v>
      </c>
      <c r="D30" s="14" t="s">
        <v>687</v>
      </c>
      <c r="E30" s="14" t="s">
        <v>685</v>
      </c>
      <c r="F30" s="14" t="s">
        <v>213</v>
      </c>
      <c r="G30" s="14" t="s">
        <v>688</v>
      </c>
      <c r="H30" s="14" t="s">
        <v>689</v>
      </c>
      <c r="I30" s="14" t="s">
        <v>690</v>
      </c>
      <c r="J30" s="14" t="s">
        <v>362</v>
      </c>
      <c r="K30" s="1">
        <v>1.43</v>
      </c>
      <c r="L30" s="1">
        <v>0</v>
      </c>
      <c r="M30" s="1">
        <v>0.5</v>
      </c>
      <c r="N30" s="1">
        <f>K30-M30</f>
        <v>0.92999999999999994</v>
      </c>
      <c r="O30" s="1">
        <v>0</v>
      </c>
      <c r="P30" s="1">
        <v>0</v>
      </c>
      <c r="Q30" s="1">
        <f t="shared" si="2"/>
        <v>44.65</v>
      </c>
      <c r="R30" s="47">
        <v>0.62</v>
      </c>
      <c r="S30" s="1">
        <v>0.8</v>
      </c>
      <c r="T30" s="1">
        <f t="shared" si="3"/>
        <v>22.1464</v>
      </c>
      <c r="U30" s="30">
        <f t="shared" si="0"/>
        <v>2.2475070315761996E-2</v>
      </c>
      <c r="V30" s="8">
        <v>0</v>
      </c>
      <c r="W30" s="8">
        <f t="shared" si="1"/>
        <v>23918.973406645004</v>
      </c>
      <c r="X30" s="8">
        <f t="shared" si="4"/>
        <v>23918.973406645004</v>
      </c>
      <c r="Y30" s="31">
        <f t="shared" si="5"/>
        <v>1594.5982271096668</v>
      </c>
    </row>
    <row r="31" spans="1:25">
      <c r="A31" s="14" t="s">
        <v>691</v>
      </c>
      <c r="B31" s="14" t="s">
        <v>692</v>
      </c>
      <c r="C31" s="14" t="s">
        <v>693</v>
      </c>
      <c r="D31" s="14" t="s">
        <v>694</v>
      </c>
      <c r="E31" s="14" t="s">
        <v>692</v>
      </c>
      <c r="F31" s="14" t="s">
        <v>213</v>
      </c>
      <c r="G31" s="14" t="s">
        <v>214</v>
      </c>
      <c r="H31" s="14"/>
      <c r="I31" s="14" t="s">
        <v>215</v>
      </c>
      <c r="J31" s="14" t="s">
        <v>216</v>
      </c>
      <c r="K31" s="1">
        <v>1.3859999999999999</v>
      </c>
      <c r="L31" s="1">
        <v>0</v>
      </c>
      <c r="M31" s="1">
        <v>0.5</v>
      </c>
      <c r="N31" s="1">
        <f>K31-M31</f>
        <v>0.8859999999999999</v>
      </c>
      <c r="O31" s="1">
        <v>0</v>
      </c>
      <c r="P31" s="1">
        <v>0</v>
      </c>
      <c r="Q31" s="1">
        <f t="shared" si="2"/>
        <v>44.43</v>
      </c>
      <c r="R31" s="47">
        <v>0.62</v>
      </c>
      <c r="S31" s="1">
        <v>0.9</v>
      </c>
      <c r="T31" s="1">
        <f t="shared" si="3"/>
        <v>24.79194</v>
      </c>
      <c r="U31" s="30">
        <f t="shared" si="0"/>
        <v>2.5159872248498742E-2</v>
      </c>
      <c r="V31" s="8">
        <v>0</v>
      </c>
      <c r="W31" s="8">
        <f t="shared" si="1"/>
        <v>26776.259507601171</v>
      </c>
      <c r="X31" s="8">
        <f t="shared" si="4"/>
        <v>26776.259507601171</v>
      </c>
      <c r="Y31" s="31">
        <f t="shared" si="5"/>
        <v>1785.0839671734113</v>
      </c>
    </row>
    <row r="32" spans="1:25">
      <c r="A32" s="14" t="s">
        <v>592</v>
      </c>
      <c r="B32" s="14" t="s">
        <v>218</v>
      </c>
      <c r="C32" s="14" t="s">
        <v>495</v>
      </c>
      <c r="D32" s="14" t="s">
        <v>496</v>
      </c>
      <c r="E32" s="14" t="s">
        <v>593</v>
      </c>
      <c r="F32" s="14" t="s">
        <v>213</v>
      </c>
      <c r="G32" s="14" t="s">
        <v>498</v>
      </c>
      <c r="H32" s="14" t="s">
        <v>499</v>
      </c>
      <c r="I32" s="14" t="s">
        <v>500</v>
      </c>
      <c r="J32" s="14" t="s">
        <v>501</v>
      </c>
      <c r="K32" s="1">
        <v>7.4969999999999999</v>
      </c>
      <c r="L32" s="1">
        <v>7.4969999999999999</v>
      </c>
      <c r="M32" s="1">
        <v>0</v>
      </c>
      <c r="N32" s="1">
        <v>0</v>
      </c>
      <c r="O32" s="1">
        <v>0</v>
      </c>
      <c r="P32" s="1">
        <v>0</v>
      </c>
      <c r="Q32" s="1">
        <f t="shared" si="2"/>
        <v>37.484999999999999</v>
      </c>
      <c r="R32" s="47">
        <v>0.57999999999999996</v>
      </c>
      <c r="S32" s="1">
        <v>1</v>
      </c>
      <c r="T32" s="1">
        <f t="shared" si="3"/>
        <v>21.741299999999999</v>
      </c>
      <c r="U32" s="30">
        <f t="shared" si="0"/>
        <v>2.2063958307267831E-2</v>
      </c>
      <c r="V32" s="8">
        <v>0</v>
      </c>
      <c r="W32" s="8">
        <f t="shared" si="1"/>
        <v>23481.449649870454</v>
      </c>
      <c r="X32" s="8">
        <f t="shared" si="4"/>
        <v>23481.449649870454</v>
      </c>
      <c r="Y32" s="31">
        <f t="shared" si="5"/>
        <v>1565.4299766580302</v>
      </c>
    </row>
    <row r="33" spans="1:25">
      <c r="A33" s="14" t="s">
        <v>695</v>
      </c>
      <c r="B33" s="14" t="s">
        <v>696</v>
      </c>
      <c r="C33" s="14" t="s">
        <v>697</v>
      </c>
      <c r="D33" s="14" t="s">
        <v>698</v>
      </c>
      <c r="E33" s="14" t="s">
        <v>696</v>
      </c>
      <c r="F33" s="14" t="s">
        <v>213</v>
      </c>
      <c r="G33" s="14" t="s">
        <v>699</v>
      </c>
      <c r="H33" s="14" t="s">
        <v>700</v>
      </c>
      <c r="I33" s="14" t="s">
        <v>701</v>
      </c>
      <c r="J33" s="14" t="s">
        <v>702</v>
      </c>
      <c r="K33" s="1">
        <v>5.2969999999999997</v>
      </c>
      <c r="L33" s="1">
        <v>0</v>
      </c>
      <c r="M33" s="1">
        <v>0.5</v>
      </c>
      <c r="N33" s="1">
        <f>K33-0.5</f>
        <v>4.7969999999999997</v>
      </c>
      <c r="O33" s="1">
        <v>0</v>
      </c>
      <c r="P33" s="1">
        <v>0</v>
      </c>
      <c r="Q33" s="1">
        <f t="shared" si="2"/>
        <v>63.984999999999999</v>
      </c>
      <c r="R33" s="47">
        <v>0.74</v>
      </c>
      <c r="S33" s="1">
        <v>1</v>
      </c>
      <c r="T33" s="1">
        <f t="shared" si="3"/>
        <v>47.3489</v>
      </c>
      <c r="U33" s="30">
        <f t="shared" si="0"/>
        <v>4.8051595603528487E-2</v>
      </c>
      <c r="V33" s="8">
        <v>0</v>
      </c>
      <c r="W33" s="8">
        <f t="shared" si="1"/>
        <v>51138.653683392949</v>
      </c>
      <c r="X33" s="8">
        <f t="shared" si="4"/>
        <v>51138.653683392949</v>
      </c>
      <c r="Y33" s="31">
        <f t="shared" si="5"/>
        <v>3409.2435788928633</v>
      </c>
    </row>
    <row r="34" spans="1:25">
      <c r="A34" s="14" t="s">
        <v>703</v>
      </c>
      <c r="B34" s="14" t="s">
        <v>704</v>
      </c>
      <c r="C34" s="14" t="s">
        <v>705</v>
      </c>
      <c r="D34" s="14"/>
      <c r="E34" s="14" t="s">
        <v>706</v>
      </c>
      <c r="F34" s="14" t="s">
        <v>213</v>
      </c>
      <c r="G34" s="14" t="s">
        <v>707</v>
      </c>
      <c r="H34" s="14"/>
      <c r="I34" s="14" t="s">
        <v>708</v>
      </c>
      <c r="J34" s="14" t="s">
        <v>709</v>
      </c>
      <c r="K34" s="1">
        <v>3.9710000000000001</v>
      </c>
      <c r="L34" s="1">
        <f>K34-2.21</f>
        <v>1.7610000000000001</v>
      </c>
      <c r="M34" s="1">
        <v>0.5</v>
      </c>
      <c r="N34" s="1">
        <f>2.21-0.5</f>
        <v>1.71</v>
      </c>
      <c r="O34" s="1">
        <v>0</v>
      </c>
      <c r="P34" s="1">
        <v>0</v>
      </c>
      <c r="Q34" s="1">
        <f t="shared" si="2"/>
        <v>57.355000000000004</v>
      </c>
      <c r="R34" s="47">
        <v>1</v>
      </c>
      <c r="S34" s="1">
        <v>1</v>
      </c>
      <c r="T34" s="1">
        <f t="shared" si="3"/>
        <v>57.355000000000004</v>
      </c>
      <c r="U34" s="30">
        <f t="shared" si="0"/>
        <v>5.8206194142638508E-2</v>
      </c>
      <c r="V34" s="8">
        <v>0</v>
      </c>
      <c r="W34" s="8">
        <f t="shared" si="1"/>
        <v>61945.630880780816</v>
      </c>
      <c r="X34" s="8">
        <f t="shared" si="4"/>
        <v>61945.630880780816</v>
      </c>
      <c r="Y34" s="31">
        <f t="shared" si="5"/>
        <v>4129.7087253853879</v>
      </c>
    </row>
    <row r="35" spans="1:25">
      <c r="A35" s="14" t="s">
        <v>710</v>
      </c>
      <c r="B35" s="14" t="s">
        <v>711</v>
      </c>
      <c r="C35" s="14" t="s">
        <v>712</v>
      </c>
      <c r="D35" s="14" t="s">
        <v>713</v>
      </c>
      <c r="E35" s="14" t="s">
        <v>711</v>
      </c>
      <c r="F35" s="14" t="s">
        <v>213</v>
      </c>
      <c r="G35" s="14" t="s">
        <v>243</v>
      </c>
      <c r="H35" s="14"/>
      <c r="I35" s="14" t="s">
        <v>244</v>
      </c>
      <c r="J35" s="14" t="s">
        <v>245</v>
      </c>
      <c r="K35" s="1">
        <v>5.1849999999999996</v>
      </c>
      <c r="L35" s="1">
        <v>2.87</v>
      </c>
      <c r="M35" s="1">
        <v>0.5</v>
      </c>
      <c r="N35" s="1">
        <f>K35-L35-M35</f>
        <v>1.8149999999999995</v>
      </c>
      <c r="O35" s="1">
        <v>0</v>
      </c>
      <c r="P35" s="1">
        <v>0</v>
      </c>
      <c r="Q35" s="1">
        <f t="shared" si="2"/>
        <v>63.424999999999997</v>
      </c>
      <c r="R35" s="47">
        <v>1</v>
      </c>
      <c r="S35" s="1">
        <v>1</v>
      </c>
      <c r="T35" s="1">
        <f t="shared" si="3"/>
        <v>63.424999999999997</v>
      </c>
      <c r="U35" s="30">
        <f t="shared" si="0"/>
        <v>6.4366277804844343E-2</v>
      </c>
      <c r="V35" s="8">
        <v>0</v>
      </c>
      <c r="W35" s="8">
        <f t="shared" si="1"/>
        <v>68501.46697957498</v>
      </c>
      <c r="X35" s="8">
        <f t="shared" si="4"/>
        <v>68501.46697957498</v>
      </c>
      <c r="Y35" s="31">
        <f t="shared" si="5"/>
        <v>4566.7644653049983</v>
      </c>
    </row>
    <row r="36" spans="1:25">
      <c r="A36" s="14" t="s">
        <v>714</v>
      </c>
      <c r="B36" s="14" t="s">
        <v>715</v>
      </c>
      <c r="C36" s="14" t="s">
        <v>716</v>
      </c>
      <c r="D36" s="14"/>
      <c r="E36" s="14" t="s">
        <v>715</v>
      </c>
      <c r="F36" s="14" t="s">
        <v>213</v>
      </c>
      <c r="G36" s="14" t="s">
        <v>214</v>
      </c>
      <c r="H36" s="14"/>
      <c r="I36" s="14" t="s">
        <v>215</v>
      </c>
      <c r="J36" s="14" t="s">
        <v>216</v>
      </c>
      <c r="K36" s="1">
        <v>5.2030000000000003</v>
      </c>
      <c r="L36" s="1">
        <v>0</v>
      </c>
      <c r="M36" s="1">
        <v>0.5</v>
      </c>
      <c r="N36" s="1">
        <f>K36-0.5</f>
        <v>4.7030000000000003</v>
      </c>
      <c r="O36" s="1">
        <v>0</v>
      </c>
      <c r="P36" s="1">
        <v>0</v>
      </c>
      <c r="Q36" s="1">
        <f t="shared" si="2"/>
        <v>63.515000000000001</v>
      </c>
      <c r="R36" s="47">
        <v>0.96</v>
      </c>
      <c r="S36" s="1">
        <v>1</v>
      </c>
      <c r="T36" s="1">
        <f t="shared" si="3"/>
        <v>60.974399999999996</v>
      </c>
      <c r="U36" s="30">
        <f t="shared" si="0"/>
        <v>6.1879308937858896E-2</v>
      </c>
      <c r="V36" s="8">
        <v>0</v>
      </c>
      <c r="W36" s="8">
        <f t="shared" si="1"/>
        <v>65854.723661007432</v>
      </c>
      <c r="X36" s="8">
        <f t="shared" si="4"/>
        <v>65854.723661007432</v>
      </c>
      <c r="Y36" s="31">
        <f t="shared" si="5"/>
        <v>4390.3149107338286</v>
      </c>
    </row>
    <row r="37" spans="1:25">
      <c r="A37" s="14" t="s">
        <v>717</v>
      </c>
      <c r="B37" s="14" t="s">
        <v>718</v>
      </c>
      <c r="C37" s="14" t="s">
        <v>719</v>
      </c>
      <c r="D37" s="14" t="s">
        <v>720</v>
      </c>
      <c r="E37" s="14" t="s">
        <v>718</v>
      </c>
      <c r="F37" s="14" t="s">
        <v>213</v>
      </c>
      <c r="G37" s="14" t="s">
        <v>243</v>
      </c>
      <c r="H37" s="14"/>
      <c r="I37" s="14" t="s">
        <v>244</v>
      </c>
      <c r="J37" s="14" t="s">
        <v>245</v>
      </c>
      <c r="K37" s="1">
        <v>5.2889999999999997</v>
      </c>
      <c r="L37" s="1">
        <v>0</v>
      </c>
      <c r="M37" s="1">
        <v>0.5</v>
      </c>
      <c r="N37" s="1">
        <f>K37-0.5</f>
        <v>4.7889999999999997</v>
      </c>
      <c r="O37" s="1">
        <v>0</v>
      </c>
      <c r="P37" s="1">
        <v>0</v>
      </c>
      <c r="Q37" s="1">
        <f t="shared" si="2"/>
        <v>63.945</v>
      </c>
      <c r="R37" s="47">
        <v>0.92</v>
      </c>
      <c r="S37" s="1">
        <v>1</v>
      </c>
      <c r="T37" s="1">
        <f t="shared" si="3"/>
        <v>58.8294</v>
      </c>
      <c r="U37" s="30">
        <f t="shared" si="0"/>
        <v>5.9702475419665897E-2</v>
      </c>
      <c r="V37" s="8">
        <v>0</v>
      </c>
      <c r="W37" s="8">
        <f t="shared" si="1"/>
        <v>63538.040229061226</v>
      </c>
      <c r="X37" s="8">
        <f t="shared" si="4"/>
        <v>63538.040229061226</v>
      </c>
      <c r="Y37" s="31">
        <f t="shared" si="5"/>
        <v>4235.869348604082</v>
      </c>
    </row>
    <row r="38" spans="1:25">
      <c r="A38" s="14" t="s">
        <v>721</v>
      </c>
      <c r="B38" s="14" t="s">
        <v>722</v>
      </c>
      <c r="C38" s="14" t="s">
        <v>723</v>
      </c>
      <c r="D38" s="14"/>
      <c r="E38" s="14" t="s">
        <v>722</v>
      </c>
      <c r="F38" s="14" t="s">
        <v>213</v>
      </c>
      <c r="G38" s="14" t="s">
        <v>214</v>
      </c>
      <c r="H38" s="14"/>
      <c r="I38" s="14" t="s">
        <v>215</v>
      </c>
      <c r="J38" s="14" t="s">
        <v>216</v>
      </c>
      <c r="K38" s="1">
        <v>5.2469999999999999</v>
      </c>
      <c r="L38" s="1">
        <v>0</v>
      </c>
      <c r="M38" s="1">
        <v>0.5</v>
      </c>
      <c r="N38" s="1">
        <f>K38-0.5</f>
        <v>4.7469999999999999</v>
      </c>
      <c r="O38" s="1">
        <v>0</v>
      </c>
      <c r="P38" s="1">
        <v>0</v>
      </c>
      <c r="Q38" s="1">
        <f t="shared" si="2"/>
        <v>63.734999999999999</v>
      </c>
      <c r="R38" s="47">
        <v>0.86</v>
      </c>
      <c r="S38" s="1">
        <v>1</v>
      </c>
      <c r="T38" s="1">
        <f t="shared" si="3"/>
        <v>54.812100000000001</v>
      </c>
      <c r="U38" s="30">
        <f t="shared" si="0"/>
        <v>5.5625555469718702E-2</v>
      </c>
      <c r="V38" s="8">
        <v>0</v>
      </c>
      <c r="W38" s="8">
        <f t="shared" si="1"/>
        <v>59199.199972111346</v>
      </c>
      <c r="X38" s="8">
        <f t="shared" si="4"/>
        <v>59199.199972111346</v>
      </c>
      <c r="Y38" s="31">
        <f t="shared" si="5"/>
        <v>3946.6133314740896</v>
      </c>
    </row>
    <row r="39" spans="1:25">
      <c r="A39" s="14" t="s">
        <v>724</v>
      </c>
      <c r="B39" s="14" t="s">
        <v>218</v>
      </c>
      <c r="C39" s="14" t="s">
        <v>725</v>
      </c>
      <c r="D39" s="14" t="s">
        <v>698</v>
      </c>
      <c r="E39" s="14" t="s">
        <v>696</v>
      </c>
      <c r="F39" s="14" t="s">
        <v>213</v>
      </c>
      <c r="G39" s="14" t="s">
        <v>726</v>
      </c>
      <c r="H39" s="14" t="s">
        <v>700</v>
      </c>
      <c r="I39" s="14" t="s">
        <v>701</v>
      </c>
      <c r="J39" s="14" t="s">
        <v>702</v>
      </c>
      <c r="K39" s="1">
        <v>4.9710000000000001</v>
      </c>
      <c r="L39" s="1">
        <v>4.9710000000000001</v>
      </c>
      <c r="M39" s="1">
        <v>0</v>
      </c>
      <c r="N39" s="1">
        <v>0</v>
      </c>
      <c r="O39" s="1">
        <v>0</v>
      </c>
      <c r="P39" s="1">
        <v>0</v>
      </c>
      <c r="Q39" s="1">
        <f t="shared" si="2"/>
        <v>24.855</v>
      </c>
      <c r="R39" s="47">
        <v>0.68</v>
      </c>
      <c r="S39" s="1">
        <v>1</v>
      </c>
      <c r="T39" s="1">
        <f t="shared" si="3"/>
        <v>16.901400000000002</v>
      </c>
      <c r="U39" s="30">
        <f t="shared" si="0"/>
        <v>1.7152230314399625E-2</v>
      </c>
      <c r="V39" s="8">
        <v>0</v>
      </c>
      <c r="W39" s="8">
        <f t="shared" si="1"/>
        <v>18254.169397060919</v>
      </c>
      <c r="X39" s="8">
        <f t="shared" si="4"/>
        <v>18254.169397060919</v>
      </c>
      <c r="Y39" s="31">
        <f t="shared" si="5"/>
        <v>1216.9446264707281</v>
      </c>
    </row>
    <row r="40" spans="1:25">
      <c r="A40" s="14" t="s">
        <v>727</v>
      </c>
      <c r="B40" s="14" t="s">
        <v>728</v>
      </c>
      <c r="C40" s="14" t="s">
        <v>729</v>
      </c>
      <c r="D40" s="14"/>
      <c r="E40" s="14" t="s">
        <v>728</v>
      </c>
      <c r="F40" s="14" t="s">
        <v>213</v>
      </c>
      <c r="G40" s="14" t="s">
        <v>730</v>
      </c>
      <c r="H40" s="14"/>
      <c r="I40" s="14" t="s">
        <v>731</v>
      </c>
      <c r="J40" s="14" t="s">
        <v>670</v>
      </c>
      <c r="K40" s="1">
        <v>3.9780000000000002</v>
      </c>
      <c r="L40" s="1">
        <v>3.9780000000000002</v>
      </c>
      <c r="M40" s="1">
        <v>0</v>
      </c>
      <c r="N40" s="1">
        <v>0</v>
      </c>
      <c r="O40" s="1">
        <v>0</v>
      </c>
      <c r="P40" s="1">
        <v>0</v>
      </c>
      <c r="Q40" s="1">
        <f t="shared" si="2"/>
        <v>19.89</v>
      </c>
      <c r="R40" s="47">
        <v>0.46</v>
      </c>
      <c r="S40" s="1">
        <v>1</v>
      </c>
      <c r="T40" s="1">
        <f t="shared" si="3"/>
        <v>9.1494</v>
      </c>
      <c r="U40" s="30">
        <f t="shared" si="0"/>
        <v>9.2851844248741482E-3</v>
      </c>
      <c r="V40" s="8">
        <v>0</v>
      </c>
      <c r="W40" s="8">
        <f t="shared" si="1"/>
        <v>9881.7078751741956</v>
      </c>
      <c r="X40" s="8">
        <f t="shared" si="4"/>
        <v>9881.7078751741956</v>
      </c>
      <c r="Y40" s="31">
        <f t="shared" si="5"/>
        <v>658.78052501161301</v>
      </c>
    </row>
    <row r="41" spans="1:25">
      <c r="A41" s="14" t="s">
        <v>732</v>
      </c>
      <c r="B41" s="14" t="s">
        <v>733</v>
      </c>
      <c r="C41" s="14" t="s">
        <v>734</v>
      </c>
      <c r="D41" s="14"/>
      <c r="E41" s="14" t="s">
        <v>733</v>
      </c>
      <c r="F41" s="14" t="s">
        <v>213</v>
      </c>
      <c r="G41" s="14"/>
      <c r="H41" s="14"/>
      <c r="I41" s="14"/>
      <c r="J41" s="14"/>
      <c r="K41" s="1">
        <v>1.302</v>
      </c>
      <c r="L41" s="1">
        <v>0</v>
      </c>
      <c r="M41" s="1">
        <v>0.5</v>
      </c>
      <c r="N41" s="1">
        <f>K41-M41</f>
        <v>0.80200000000000005</v>
      </c>
      <c r="O41" s="1">
        <v>0</v>
      </c>
      <c r="P41" s="1">
        <v>0</v>
      </c>
      <c r="Q41" s="1">
        <f t="shared" si="2"/>
        <v>44.01</v>
      </c>
      <c r="R41" s="47">
        <v>0.62</v>
      </c>
      <c r="S41" s="1">
        <v>0.9</v>
      </c>
      <c r="T41" s="1">
        <f t="shared" si="3"/>
        <v>24.557579999999998</v>
      </c>
      <c r="U41" s="30">
        <f t="shared" si="0"/>
        <v>2.4922034158371135E-2</v>
      </c>
      <c r="V41" s="8">
        <v>0</v>
      </c>
      <c r="W41" s="8">
        <f t="shared" si="1"/>
        <v>26523.141591931744</v>
      </c>
      <c r="X41" s="8">
        <f t="shared" si="4"/>
        <v>26523.141591931744</v>
      </c>
      <c r="Y41" s="31">
        <f t="shared" si="5"/>
        <v>1768.2094394621163</v>
      </c>
    </row>
    <row r="42" spans="1:25">
      <c r="U42" s="49" t="s">
        <v>171</v>
      </c>
      <c r="V42" s="31">
        <f>SUM(V3:V41)</f>
        <v>574690</v>
      </c>
      <c r="W42" s="31">
        <f>Overview!D22-Estimate!L64+'Estimate (No 4B)'!L64-V42</f>
        <v>1064244.6528797012</v>
      </c>
      <c r="X42" s="8">
        <f t="shared" si="4"/>
        <v>1638934.6528797012</v>
      </c>
      <c r="Y42" s="23"/>
    </row>
    <row r="43" spans="1:25">
      <c r="K43" s="45"/>
      <c r="L43" s="45" t="s">
        <v>310</v>
      </c>
      <c r="M43" s="45"/>
      <c r="N43" s="45"/>
      <c r="O43" s="45"/>
      <c r="P43" s="45"/>
      <c r="U43" s="3"/>
      <c r="V43" s="3"/>
      <c r="Y43" s="23"/>
    </row>
    <row r="44" spans="1:25">
      <c r="L44" t="s">
        <v>311</v>
      </c>
      <c r="M44" s="45"/>
      <c r="Y44" s="23"/>
    </row>
    <row r="45" spans="1:25">
      <c r="L45" t="s">
        <v>312</v>
      </c>
      <c r="X45" s="23">
        <f>SUM(X3:X41)</f>
        <v>1638934.6528797012</v>
      </c>
      <c r="Y45" s="23"/>
    </row>
    <row r="46" spans="1:25">
      <c r="L46" t="s">
        <v>313</v>
      </c>
      <c r="Y46" s="23"/>
    </row>
    <row r="47" spans="1:25">
      <c r="L47" t="s">
        <v>314</v>
      </c>
      <c r="Y47" s="23"/>
    </row>
    <row r="49" spans="12:20">
      <c r="L49">
        <f>SUM(L3:L41)</f>
        <v>69.890999999999991</v>
      </c>
      <c r="M49">
        <f t="shared" ref="M49:N49" si="6">SUM(M3:M41)</f>
        <v>8.5</v>
      </c>
      <c r="N49">
        <f t="shared" si="6"/>
        <v>40.118999999999993</v>
      </c>
    </row>
    <row r="50" spans="12:20">
      <c r="S50" t="s">
        <v>618</v>
      </c>
      <c r="T50">
        <f>SUM(T3:T41)</f>
        <v>985.37622747584919</v>
      </c>
    </row>
    <row r="52" spans="12:20">
      <c r="M52">
        <f>M49+N49+'Area 3'!M49+'Area 3'!N49+'Area 2'!M71+'Area 2'!N71+'Area 1'!M31+'Area 1'!N31</f>
        <v>245.76600000000002</v>
      </c>
    </row>
  </sheetData>
  <pageMargins left="0.7" right="0.7" top="0.75" bottom="0.75" header="0.3" footer="0.3"/>
  <pageSetup paperSize="3" scale="84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4084-2E0B-493D-B8FC-8A1D1CC6F14C}">
  <dimension ref="B2:L41"/>
  <sheetViews>
    <sheetView workbookViewId="0">
      <selection activeCell="O6" sqref="O6"/>
    </sheetView>
  </sheetViews>
  <sheetFormatPr defaultRowHeight="14.45"/>
  <cols>
    <col min="2" max="2" width="10.7109375" bestFit="1" customWidth="1"/>
    <col min="3" max="4" width="12.28515625" bestFit="1" customWidth="1"/>
    <col min="5" max="5" width="13.42578125" bestFit="1" customWidth="1"/>
    <col min="6" max="6" width="11.5703125" bestFit="1" customWidth="1"/>
    <col min="7" max="7" width="11.5703125" customWidth="1"/>
    <col min="8" max="8" width="19.7109375" customWidth="1"/>
    <col min="9" max="9" width="13.42578125" bestFit="1" customWidth="1"/>
    <col min="10" max="10" width="11.5703125" bestFit="1" customWidth="1"/>
    <col min="11" max="11" width="12.28515625" customWidth="1"/>
    <col min="12" max="12" width="12.140625" customWidth="1"/>
  </cols>
  <sheetData>
    <row r="2" spans="2:12" ht="29.1">
      <c r="B2" t="s">
        <v>736</v>
      </c>
      <c r="C2" t="s">
        <v>737</v>
      </c>
      <c r="D2" t="s">
        <v>738</v>
      </c>
      <c r="E2" t="s">
        <v>624</v>
      </c>
      <c r="F2" t="s">
        <v>625</v>
      </c>
      <c r="H2" s="3" t="s">
        <v>739</v>
      </c>
      <c r="I2" s="3" t="s">
        <v>740</v>
      </c>
      <c r="J2" s="3" t="s">
        <v>741</v>
      </c>
      <c r="K2" s="3" t="s">
        <v>742</v>
      </c>
      <c r="L2" s="3" t="s">
        <v>743</v>
      </c>
    </row>
    <row r="3" spans="2:12">
      <c r="B3" s="9" t="s">
        <v>630</v>
      </c>
      <c r="C3" s="4">
        <v>930616.86834053043</v>
      </c>
      <c r="D3" s="4">
        <v>825600.529447573</v>
      </c>
      <c r="E3" s="23">
        <f>D3-C3</f>
        <v>-105016.33889295743</v>
      </c>
      <c r="F3" s="59">
        <f t="shared" ref="F3" si="0">E3/C3</f>
        <v>-0.11284594387400461</v>
      </c>
      <c r="G3" s="59"/>
      <c r="H3" s="4">
        <v>820885.2503288358</v>
      </c>
      <c r="I3" s="23">
        <f>H3-C3</f>
        <v>-109731.61801169463</v>
      </c>
      <c r="J3" s="59">
        <f>I3/C3</f>
        <v>-0.11791277564887395</v>
      </c>
      <c r="K3" s="23">
        <f>H3-D3</f>
        <v>-4715.2791187372059</v>
      </c>
      <c r="L3" s="59">
        <f>K3/D3</f>
        <v>-5.7113324792709376E-3</v>
      </c>
    </row>
    <row r="4" spans="2:12">
      <c r="B4" s="14" t="s">
        <v>327</v>
      </c>
      <c r="C4" s="4">
        <v>14.324942708008619</v>
      </c>
      <c r="D4" s="4">
        <v>10.098363677714248</v>
      </c>
      <c r="E4" s="23">
        <f t="shared" ref="E4:E41" si="1">D4-C4</f>
        <v>-4.2265790302943707</v>
      </c>
      <c r="F4" s="59">
        <f t="shared" ref="F4:F41" si="2">E4/C4</f>
        <v>-0.29505032700280365</v>
      </c>
      <c r="G4" s="59"/>
      <c r="H4" s="4">
        <v>55082.955911188292</v>
      </c>
      <c r="I4" s="23">
        <f t="shared" ref="I4:I41" si="3">H4-C4</f>
        <v>55068.630968480284</v>
      </c>
      <c r="J4" s="59">
        <f t="shared" ref="J4:J41" si="4">I4/C4</f>
        <v>3844.2479031831076</v>
      </c>
      <c r="K4" s="23">
        <f t="shared" ref="K4:K41" si="5">H4-D4</f>
        <v>55072.857547510575</v>
      </c>
      <c r="L4" s="59">
        <f t="shared" ref="L4:L41" si="6">K4/D4</f>
        <v>5453.6417290109166</v>
      </c>
    </row>
    <row r="5" spans="2:12">
      <c r="B5" s="14" t="s">
        <v>428</v>
      </c>
      <c r="C5" s="4">
        <v>71.011881766438435</v>
      </c>
      <c r="D5" s="4">
        <v>50.05980283016634</v>
      </c>
      <c r="E5" s="23">
        <f t="shared" si="1"/>
        <v>-20.952078936272095</v>
      </c>
      <c r="F5" s="59">
        <f t="shared" si="2"/>
        <v>-0.2950503270028037</v>
      </c>
      <c r="G5" s="59"/>
      <c r="H5" s="4">
        <v>10</v>
      </c>
      <c r="I5" s="23">
        <f t="shared" si="3"/>
        <v>-61.011881766438435</v>
      </c>
      <c r="J5" s="59">
        <f t="shared" si="4"/>
        <v>-0.85917849589044137</v>
      </c>
      <c r="K5" s="23">
        <f t="shared" si="5"/>
        <v>-40.05980283016634</v>
      </c>
      <c r="L5" s="59">
        <f t="shared" si="6"/>
        <v>-0.80023892555218101</v>
      </c>
    </row>
    <row r="6" spans="2:12">
      <c r="B6" s="14" t="s">
        <v>266</v>
      </c>
      <c r="C6" s="4">
        <v>76.144347870377359</v>
      </c>
      <c r="D6" s="4">
        <v>53.677933131807286</v>
      </c>
      <c r="E6" s="23">
        <f t="shared" si="1"/>
        <v>-22.466414738570073</v>
      </c>
      <c r="F6" s="59">
        <f t="shared" si="2"/>
        <v>-0.29505032700280359</v>
      </c>
      <c r="G6" s="59"/>
      <c r="H6" s="4">
        <v>28660.08870812946</v>
      </c>
      <c r="I6" s="23">
        <f t="shared" si="3"/>
        <v>28583.944360259084</v>
      </c>
      <c r="J6" s="59">
        <f t="shared" si="4"/>
        <v>375.39154460838415</v>
      </c>
      <c r="K6" s="23">
        <f t="shared" si="5"/>
        <v>28606.410774997654</v>
      </c>
      <c r="L6" s="59">
        <f t="shared" si="6"/>
        <v>532.92683056096837</v>
      </c>
    </row>
    <row r="7" spans="2:12">
      <c r="B7" s="14" t="s">
        <v>652</v>
      </c>
      <c r="C7" s="4">
        <v>106.8778613166504</v>
      </c>
      <c r="D7" s="4">
        <v>75.3435133858124</v>
      </c>
      <c r="E7" s="23">
        <f t="shared" si="1"/>
        <v>-31.534347930837995</v>
      </c>
      <c r="F7" s="59">
        <f t="shared" si="2"/>
        <v>-0.29505032700280365</v>
      </c>
      <c r="G7" s="59"/>
      <c r="H7" s="4">
        <v>54144.34235093958</v>
      </c>
      <c r="I7" s="23">
        <f t="shared" si="3"/>
        <v>54037.464489622929</v>
      </c>
      <c r="J7" s="59">
        <f t="shared" si="4"/>
        <v>505.60016661939403</v>
      </c>
      <c r="K7" s="23">
        <f t="shared" si="5"/>
        <v>54068.998837553765</v>
      </c>
      <c r="L7" s="59">
        <f t="shared" si="6"/>
        <v>717.63309683584862</v>
      </c>
    </row>
    <row r="8" spans="2:12">
      <c r="B8" s="14" t="s">
        <v>413</v>
      </c>
      <c r="C8" s="4">
        <v>185.68802740220795</v>
      </c>
      <c r="D8" s="4">
        <v>130.90071419668092</v>
      </c>
      <c r="E8" s="23">
        <f t="shared" si="1"/>
        <v>-54.787313205527028</v>
      </c>
      <c r="F8" s="59">
        <f t="shared" si="2"/>
        <v>-0.2950503270028037</v>
      </c>
      <c r="G8" s="59"/>
      <c r="H8" s="4">
        <v>16609.390606815032</v>
      </c>
      <c r="I8" s="23">
        <f t="shared" si="3"/>
        <v>16423.702579412824</v>
      </c>
      <c r="J8" s="59">
        <f t="shared" si="4"/>
        <v>88.447827300348266</v>
      </c>
      <c r="K8" s="23">
        <f t="shared" si="5"/>
        <v>16478.489892618352</v>
      </c>
      <c r="L8" s="59">
        <f t="shared" si="6"/>
        <v>125.88540859952143</v>
      </c>
    </row>
    <row r="9" spans="2:12">
      <c r="B9" s="14" t="s">
        <v>251</v>
      </c>
      <c r="C9" s="4">
        <v>227.13077609222219</v>
      </c>
      <c r="D9" s="4">
        <v>160.11576633381145</v>
      </c>
      <c r="E9" s="23">
        <f t="shared" si="1"/>
        <v>-67.015009758410741</v>
      </c>
      <c r="F9" s="59">
        <f t="shared" si="2"/>
        <v>-0.2950503270028037</v>
      </c>
      <c r="G9" s="59"/>
      <c r="H9" s="4">
        <v>73.927607500225974</v>
      </c>
      <c r="I9" s="23">
        <f t="shared" si="3"/>
        <v>-153.20316859199622</v>
      </c>
      <c r="J9" s="59">
        <f t="shared" si="4"/>
        <v>-0.67451523403323799</v>
      </c>
      <c r="K9" s="23">
        <f t="shared" si="5"/>
        <v>-86.188158833585476</v>
      </c>
      <c r="L9" s="59">
        <f t="shared" si="6"/>
        <v>-0.53828652110310782</v>
      </c>
    </row>
    <row r="10" spans="2:12">
      <c r="B10" s="14" t="s">
        <v>407</v>
      </c>
      <c r="C10" s="4">
        <v>295.38491487743971</v>
      </c>
      <c r="D10" s="4">
        <v>208.23149915115582</v>
      </c>
      <c r="E10" s="23">
        <f t="shared" si="1"/>
        <v>-87.153415726283896</v>
      </c>
      <c r="F10" s="59">
        <f t="shared" si="2"/>
        <v>-0.29505032700280359</v>
      </c>
      <c r="G10" s="59"/>
      <c r="H10" s="4">
        <v>2379.1227291170562</v>
      </c>
      <c r="I10" s="23">
        <f t="shared" si="3"/>
        <v>2083.7378142396165</v>
      </c>
      <c r="J10" s="59">
        <f t="shared" si="4"/>
        <v>7.0543135728654089</v>
      </c>
      <c r="K10" s="23">
        <f t="shared" si="5"/>
        <v>2170.8912299659005</v>
      </c>
      <c r="L10" s="59">
        <f t="shared" si="6"/>
        <v>10.425373869061206</v>
      </c>
    </row>
    <row r="11" spans="2:12">
      <c r="B11" s="14" t="s">
        <v>400</v>
      </c>
      <c r="C11" s="4">
        <v>318.51931433101515</v>
      </c>
      <c r="D11" s="4">
        <v>224.54008648094032</v>
      </c>
      <c r="E11" s="23">
        <f t="shared" si="1"/>
        <v>-93.979227850074835</v>
      </c>
      <c r="F11" s="59">
        <f t="shared" si="2"/>
        <v>-0.2950503270028037</v>
      </c>
      <c r="G11" s="59"/>
      <c r="H11" s="4">
        <v>2220.3203784302891</v>
      </c>
      <c r="I11" s="23">
        <f t="shared" si="3"/>
        <v>1901.8010640992738</v>
      </c>
      <c r="J11" s="59">
        <f t="shared" si="4"/>
        <v>5.970755864816609</v>
      </c>
      <c r="K11" s="23">
        <f t="shared" si="5"/>
        <v>1995.7802919493488</v>
      </c>
      <c r="L11" s="59">
        <f t="shared" si="6"/>
        <v>8.8883028559747039</v>
      </c>
    </row>
    <row r="12" spans="2:12">
      <c r="B12" s="14" t="s">
        <v>423</v>
      </c>
      <c r="C12" s="4">
        <v>367.69906416278803</v>
      </c>
      <c r="D12" s="4">
        <v>259.20933504293254</v>
      </c>
      <c r="E12" s="23">
        <f t="shared" si="1"/>
        <v>-108.4897291198555</v>
      </c>
      <c r="F12" s="59">
        <f t="shared" si="2"/>
        <v>-0.29505032700280365</v>
      </c>
      <c r="G12" s="59"/>
      <c r="H12" s="4">
        <v>2204.3182730224135</v>
      </c>
      <c r="I12" s="23">
        <f t="shared" si="3"/>
        <v>1836.6192088596254</v>
      </c>
      <c r="J12" s="59">
        <f t="shared" si="4"/>
        <v>4.9948976972280672</v>
      </c>
      <c r="K12" s="23">
        <f t="shared" si="5"/>
        <v>1945.108937979481</v>
      </c>
      <c r="L12" s="59">
        <f t="shared" si="6"/>
        <v>7.5040080545606695</v>
      </c>
    </row>
    <row r="13" spans="2:12">
      <c r="B13" s="14" t="s">
        <v>417</v>
      </c>
      <c r="C13" s="4">
        <v>469.04611872265656</v>
      </c>
      <c r="D13" s="4">
        <v>330.65390801414088</v>
      </c>
      <c r="E13" s="23">
        <f t="shared" si="1"/>
        <v>-138.39221070851568</v>
      </c>
      <c r="F13" s="59">
        <f t="shared" si="2"/>
        <v>-0.29505032700280365</v>
      </c>
      <c r="G13" s="59"/>
      <c r="H13" s="4">
        <v>2128.4407400950026</v>
      </c>
      <c r="I13" s="23">
        <f t="shared" si="3"/>
        <v>1659.3946213723461</v>
      </c>
      <c r="J13" s="59">
        <f t="shared" si="4"/>
        <v>3.5378069557239717</v>
      </c>
      <c r="K13" s="23">
        <f t="shared" si="5"/>
        <v>1797.7868320808618</v>
      </c>
      <c r="L13" s="59">
        <f t="shared" si="6"/>
        <v>5.4370651261257041</v>
      </c>
    </row>
    <row r="14" spans="2:12">
      <c r="B14" s="14" t="s">
        <v>376</v>
      </c>
      <c r="C14" s="4">
        <v>548.10141751765582</v>
      </c>
      <c r="D14" s="4">
        <v>386.38391504837125</v>
      </c>
      <c r="E14" s="23">
        <f t="shared" si="1"/>
        <v>-161.71750246928457</v>
      </c>
      <c r="F14" s="59">
        <f t="shared" si="2"/>
        <v>-0.29505032700280365</v>
      </c>
      <c r="G14" s="59"/>
      <c r="H14" s="4">
        <v>3387.4143311252269</v>
      </c>
      <c r="I14" s="23">
        <f t="shared" si="3"/>
        <v>2839.3129136075713</v>
      </c>
      <c r="J14" s="59">
        <f t="shared" si="4"/>
        <v>5.1802692400738213</v>
      </c>
      <c r="K14" s="23">
        <f t="shared" si="5"/>
        <v>3001.0304160768555</v>
      </c>
      <c r="L14" s="59">
        <f t="shared" si="6"/>
        <v>7.7669651846173711</v>
      </c>
    </row>
    <row r="15" spans="2:12">
      <c r="B15" s="14" t="s">
        <v>534</v>
      </c>
      <c r="C15" s="4">
        <v>1091.2235768747739</v>
      </c>
      <c r="D15" s="4">
        <v>769.25770368470273</v>
      </c>
      <c r="E15" s="23">
        <f t="shared" si="1"/>
        <v>-321.96587319007119</v>
      </c>
      <c r="F15" s="59">
        <f t="shared" si="2"/>
        <v>-0.29505032700280376</v>
      </c>
      <c r="G15" s="59"/>
      <c r="H15" s="4">
        <v>2324.4400377894808</v>
      </c>
      <c r="I15" s="23">
        <f t="shared" si="3"/>
        <v>1233.2164609147069</v>
      </c>
      <c r="J15" s="59">
        <f t="shared" si="4"/>
        <v>1.1301226321067912</v>
      </c>
      <c r="K15" s="23">
        <f t="shared" si="5"/>
        <v>1555.182334104778</v>
      </c>
      <c r="L15" s="59">
        <f t="shared" si="6"/>
        <v>2.0216662461169239</v>
      </c>
    </row>
    <row r="16" spans="2:12">
      <c r="B16" s="14" t="s">
        <v>546</v>
      </c>
      <c r="C16" s="4">
        <v>1983.7364511582416</v>
      </c>
      <c r="D16" s="4">
        <v>1398.4343625566212</v>
      </c>
      <c r="E16" s="23">
        <f t="shared" si="1"/>
        <v>-585.30208860162043</v>
      </c>
      <c r="F16" s="59">
        <f t="shared" si="2"/>
        <v>-0.29505032700280365</v>
      </c>
      <c r="G16" s="59"/>
      <c r="H16" s="4">
        <v>2254.3380991980252</v>
      </c>
      <c r="I16" s="23">
        <f t="shared" si="3"/>
        <v>270.60164803978364</v>
      </c>
      <c r="J16" s="59">
        <f t="shared" si="4"/>
        <v>0.13641008001934321</v>
      </c>
      <c r="K16" s="23">
        <f t="shared" si="5"/>
        <v>855.90373664140407</v>
      </c>
      <c r="L16" s="59">
        <f t="shared" si="6"/>
        <v>0.6120442686181129</v>
      </c>
    </row>
    <row r="17" spans="2:12">
      <c r="B17" s="14" t="s">
        <v>230</v>
      </c>
      <c r="C17" s="4">
        <v>2005.7983950080086</v>
      </c>
      <c r="D17" s="4">
        <v>1413.9869226591968</v>
      </c>
      <c r="E17" s="23">
        <f t="shared" si="1"/>
        <v>-591.81147234881178</v>
      </c>
      <c r="F17" s="59">
        <f t="shared" si="2"/>
        <v>-0.2950503270028037</v>
      </c>
      <c r="G17" s="59"/>
      <c r="H17" s="4">
        <v>157.10676335878009</v>
      </c>
      <c r="I17" s="23">
        <f t="shared" si="3"/>
        <v>-1848.6916316492284</v>
      </c>
      <c r="J17" s="59">
        <f t="shared" si="4"/>
        <v>-0.92167370172905494</v>
      </c>
      <c r="K17" s="23">
        <f t="shared" si="5"/>
        <v>-1256.8801593004168</v>
      </c>
      <c r="L17" s="59">
        <f t="shared" si="6"/>
        <v>-0.88889093608919723</v>
      </c>
    </row>
    <row r="18" spans="2:12">
      <c r="B18" s="14" t="s">
        <v>550</v>
      </c>
      <c r="C18" s="4">
        <v>2648.0460937456783</v>
      </c>
      <c r="D18" s="4">
        <v>1866.739227867519</v>
      </c>
      <c r="E18" s="23">
        <f t="shared" si="1"/>
        <v>-781.30686587815921</v>
      </c>
      <c r="F18" s="59">
        <f t="shared" si="2"/>
        <v>-0.29505032700280365</v>
      </c>
      <c r="G18" s="59"/>
      <c r="H18" s="4">
        <v>2049.1190454076186</v>
      </c>
      <c r="I18" s="23">
        <f t="shared" si="3"/>
        <v>-598.92704833805965</v>
      </c>
      <c r="J18" s="59">
        <f t="shared" si="4"/>
        <v>-0.2261769724298392</v>
      </c>
      <c r="K18" s="23">
        <f t="shared" si="5"/>
        <v>182.37981754009957</v>
      </c>
      <c r="L18" s="59">
        <f t="shared" si="6"/>
        <v>9.769967589337171E-2</v>
      </c>
    </row>
    <row r="19" spans="2:12">
      <c r="B19" s="14" t="s">
        <v>552</v>
      </c>
      <c r="C19" s="4">
        <v>2901.988259933104</v>
      </c>
      <c r="D19" s="4">
        <v>2045.7556748815443</v>
      </c>
      <c r="E19" s="23">
        <f t="shared" si="1"/>
        <v>-856.23258505155968</v>
      </c>
      <c r="F19" s="59">
        <f t="shared" si="2"/>
        <v>-0.2950503270028037</v>
      </c>
      <c r="G19" s="59"/>
      <c r="H19" s="4">
        <v>5922.3703735695435</v>
      </c>
      <c r="I19" s="23">
        <f t="shared" si="3"/>
        <v>3020.3821136364395</v>
      </c>
      <c r="J19" s="59">
        <f t="shared" si="4"/>
        <v>1.040797495750746</v>
      </c>
      <c r="K19" s="23">
        <f t="shared" si="5"/>
        <v>3876.6146986879994</v>
      </c>
      <c r="L19" s="59">
        <f t="shared" si="6"/>
        <v>1.8949548796497742</v>
      </c>
    </row>
    <row r="20" spans="2:12">
      <c r="B20" s="14" t="s">
        <v>256</v>
      </c>
      <c r="C20" s="4">
        <v>5670.6090051354968</v>
      </c>
      <c r="D20" s="4">
        <v>3997.4939638652249</v>
      </c>
      <c r="E20" s="23">
        <f t="shared" si="1"/>
        <v>-1673.1150412702718</v>
      </c>
      <c r="F20" s="59">
        <f t="shared" si="2"/>
        <v>-0.2950503270028037</v>
      </c>
      <c r="G20" s="59"/>
      <c r="H20" s="4">
        <v>2052.6691813755911</v>
      </c>
      <c r="I20" s="23">
        <f t="shared" si="3"/>
        <v>-3617.9398237599057</v>
      </c>
      <c r="J20" s="59">
        <f t="shared" si="4"/>
        <v>-0.6380160967690377</v>
      </c>
      <c r="K20" s="23">
        <f t="shared" si="5"/>
        <v>-1944.8247824896339</v>
      </c>
      <c r="L20" s="59">
        <f t="shared" si="6"/>
        <v>-0.48651099915837259</v>
      </c>
    </row>
    <row r="21" spans="2:12">
      <c r="B21" s="14" t="s">
        <v>727</v>
      </c>
      <c r="C21" s="4">
        <v>14017.607573545887</v>
      </c>
      <c r="D21" s="4">
        <v>9881.7078751741956</v>
      </c>
      <c r="E21" s="23">
        <f t="shared" si="1"/>
        <v>-4135.8996983716916</v>
      </c>
      <c r="F21" s="59">
        <f t="shared" si="2"/>
        <v>-0.2950503270028037</v>
      </c>
      <c r="G21" s="59"/>
      <c r="H21" s="4">
        <v>21237.2312830351</v>
      </c>
      <c r="I21" s="23">
        <f t="shared" si="3"/>
        <v>7219.6237094892131</v>
      </c>
      <c r="J21" s="59">
        <f t="shared" si="4"/>
        <v>0.51503965078278624</v>
      </c>
      <c r="K21" s="23">
        <f t="shared" si="5"/>
        <v>11355.523407860905</v>
      </c>
      <c r="L21" s="59">
        <f t="shared" si="6"/>
        <v>1.1491458309943947</v>
      </c>
    </row>
    <row r="22" spans="2:12">
      <c r="B22" s="14" t="s">
        <v>676</v>
      </c>
      <c r="C22" s="4">
        <v>21319.191740158451</v>
      </c>
      <c r="D22" s="4">
        <v>15028.957245789228</v>
      </c>
      <c r="E22" s="23">
        <f t="shared" si="1"/>
        <v>-6290.2344943692224</v>
      </c>
      <c r="F22" s="59">
        <f t="shared" si="2"/>
        <v>-0.2950503270028037</v>
      </c>
      <c r="G22" s="59"/>
      <c r="H22" s="4">
        <v>21892.151888470013</v>
      </c>
      <c r="I22" s="23">
        <f t="shared" si="3"/>
        <v>572.96014831156208</v>
      </c>
      <c r="J22" s="59">
        <f t="shared" si="4"/>
        <v>2.687532225869008E-2</v>
      </c>
      <c r="K22" s="23">
        <f t="shared" si="5"/>
        <v>6863.1946426807845</v>
      </c>
      <c r="L22" s="59">
        <f t="shared" si="6"/>
        <v>0.4566647259977864</v>
      </c>
    </row>
    <row r="23" spans="2:12">
      <c r="B23" s="14" t="s">
        <v>671</v>
      </c>
      <c r="C23" s="4">
        <v>21355.961646574731</v>
      </c>
      <c r="D23" s="4">
        <v>15054.878179293522</v>
      </c>
      <c r="E23" s="23">
        <f t="shared" si="1"/>
        <v>-6301.0834672812089</v>
      </c>
      <c r="F23" s="59">
        <f t="shared" si="2"/>
        <v>-0.2950503270028037</v>
      </c>
      <c r="G23" s="59"/>
      <c r="H23" s="4">
        <v>14771.9568014213</v>
      </c>
      <c r="I23" s="23">
        <f t="shared" si="3"/>
        <v>-6584.0048451534312</v>
      </c>
      <c r="J23" s="59">
        <f t="shared" si="4"/>
        <v>-0.30829821452734418</v>
      </c>
      <c r="K23" s="23">
        <f t="shared" si="5"/>
        <v>-282.92137787222237</v>
      </c>
      <c r="L23" s="59">
        <f t="shared" si="6"/>
        <v>-1.8792671352289812E-2</v>
      </c>
    </row>
    <row r="24" spans="2:12">
      <c r="B24" s="14" t="s">
        <v>643</v>
      </c>
      <c r="C24" s="4">
        <v>24012.357573235771</v>
      </c>
      <c r="D24" s="4">
        <v>16927.503619144307</v>
      </c>
      <c r="E24" s="23">
        <f t="shared" si="1"/>
        <v>-7084.8539540914644</v>
      </c>
      <c r="F24" s="59">
        <f t="shared" si="2"/>
        <v>-0.2950503270028037</v>
      </c>
      <c r="G24" s="59"/>
      <c r="H24" s="4">
        <v>14746.522991501497</v>
      </c>
      <c r="I24" s="23">
        <f t="shared" si="3"/>
        <v>-9265.8345817342743</v>
      </c>
      <c r="J24" s="59">
        <f t="shared" si="4"/>
        <v>-0.38587775288095805</v>
      </c>
      <c r="K24" s="23">
        <f t="shared" si="5"/>
        <v>-2180.9806276428098</v>
      </c>
      <c r="L24" s="59">
        <f t="shared" si="6"/>
        <v>-0.12884242571812013</v>
      </c>
    </row>
    <row r="25" spans="2:12">
      <c r="B25" s="14" t="s">
        <v>724</v>
      </c>
      <c r="C25" s="4">
        <v>25894.287346003945</v>
      </c>
      <c r="D25" s="4">
        <v>18254.169397060919</v>
      </c>
      <c r="E25" s="23">
        <f t="shared" si="1"/>
        <v>-7640.1179489430251</v>
      </c>
      <c r="F25" s="59">
        <f t="shared" si="2"/>
        <v>-0.29505032700280365</v>
      </c>
      <c r="G25" s="59"/>
      <c r="H25" s="4">
        <v>68139.72015614291</v>
      </c>
      <c r="I25" s="23">
        <f t="shared" si="3"/>
        <v>42245.432810138969</v>
      </c>
      <c r="J25" s="59">
        <f t="shared" si="4"/>
        <v>1.6314576356417225</v>
      </c>
      <c r="K25" s="23">
        <f t="shared" si="5"/>
        <v>49885.550759081991</v>
      </c>
      <c r="L25" s="59">
        <f t="shared" si="6"/>
        <v>2.73283049335096</v>
      </c>
    </row>
    <row r="26" spans="2:12">
      <c r="B26" s="14" t="s">
        <v>659</v>
      </c>
      <c r="C26" s="4">
        <v>30702.871857592807</v>
      </c>
      <c r="D26" s="4">
        <v>21643.979476084871</v>
      </c>
      <c r="E26" s="23">
        <f t="shared" si="1"/>
        <v>-9058.8923815079361</v>
      </c>
      <c r="F26" s="59">
        <f t="shared" si="2"/>
        <v>-0.2950503270028037</v>
      </c>
      <c r="G26" s="59"/>
      <c r="H26" s="4">
        <v>754.80129647413901</v>
      </c>
      <c r="I26" s="23">
        <f t="shared" si="3"/>
        <v>-29948.070561118668</v>
      </c>
      <c r="J26" s="59">
        <f t="shared" si="4"/>
        <v>-0.97541593828827844</v>
      </c>
      <c r="K26" s="23">
        <f t="shared" si="5"/>
        <v>-20889.178179610732</v>
      </c>
      <c r="L26" s="59">
        <f t="shared" si="6"/>
        <v>-0.96512650100652042</v>
      </c>
    </row>
    <row r="27" spans="2:12">
      <c r="B27" s="14" t="s">
        <v>663</v>
      </c>
      <c r="C27" s="4">
        <v>31649.696947811979</v>
      </c>
      <c r="D27" s="4">
        <v>22311.443513820417</v>
      </c>
      <c r="E27" s="23">
        <f t="shared" si="1"/>
        <v>-9338.2534339915619</v>
      </c>
      <c r="F27" s="59">
        <f t="shared" si="2"/>
        <v>-0.2950503270028037</v>
      </c>
      <c r="G27" s="59"/>
      <c r="H27" s="4">
        <v>1372.1540451733456</v>
      </c>
      <c r="I27" s="23">
        <f t="shared" si="3"/>
        <v>-30277.542902638634</v>
      </c>
      <c r="J27" s="59">
        <f t="shared" si="4"/>
        <v>-0.95664558660906207</v>
      </c>
      <c r="K27" s="23">
        <f t="shared" si="5"/>
        <v>-20939.289468647072</v>
      </c>
      <c r="L27" s="59">
        <f t="shared" si="6"/>
        <v>-0.93849998794011735</v>
      </c>
    </row>
    <row r="28" spans="2:12">
      <c r="B28" s="14" t="s">
        <v>592</v>
      </c>
      <c r="C28" s="4">
        <v>33309.398598676766</v>
      </c>
      <c r="D28" s="4">
        <v>23481.449649870454</v>
      </c>
      <c r="E28" s="23">
        <f t="shared" si="1"/>
        <v>-9827.9489488063118</v>
      </c>
      <c r="F28" s="59">
        <f t="shared" si="2"/>
        <v>-0.2950503270028037</v>
      </c>
      <c r="G28" s="59"/>
      <c r="H28" s="4">
        <v>1831.6582110577774</v>
      </c>
      <c r="I28" s="23">
        <f t="shared" si="3"/>
        <v>-31477.740387618989</v>
      </c>
      <c r="J28" s="59">
        <f t="shared" si="4"/>
        <v>-0.94501076908874182</v>
      </c>
      <c r="K28" s="23">
        <f t="shared" si="5"/>
        <v>-21649.791438812677</v>
      </c>
      <c r="L28" s="59">
        <f t="shared" si="6"/>
        <v>-0.92199552249245897</v>
      </c>
    </row>
    <row r="29" spans="2:12">
      <c r="B29" s="14" t="s">
        <v>684</v>
      </c>
      <c r="C29" s="4">
        <v>33930.043977394867</v>
      </c>
      <c r="D29" s="4">
        <v>23918.973406645004</v>
      </c>
      <c r="E29" s="23">
        <f t="shared" si="1"/>
        <v>-10011.070570749864</v>
      </c>
      <c r="F29" s="59">
        <f t="shared" si="2"/>
        <v>-0.29505032700280365</v>
      </c>
      <c r="G29" s="59"/>
      <c r="H29" s="4">
        <v>2007.3104608164135</v>
      </c>
      <c r="I29" s="23">
        <f t="shared" si="3"/>
        <v>-31922.733516578453</v>
      </c>
      <c r="J29" s="59">
        <f t="shared" si="4"/>
        <v>-0.94083973300613055</v>
      </c>
      <c r="K29" s="23">
        <f t="shared" si="5"/>
        <v>-21911.66294582859</v>
      </c>
      <c r="L29" s="59">
        <f t="shared" si="6"/>
        <v>-0.9160787368801222</v>
      </c>
    </row>
    <row r="30" spans="2:12">
      <c r="B30" s="14" t="s">
        <v>732</v>
      </c>
      <c r="C30" s="4">
        <v>37624.163267094998</v>
      </c>
      <c r="D30" s="4">
        <v>26523.141591931744</v>
      </c>
      <c r="E30" s="23">
        <f t="shared" si="1"/>
        <v>-11101.021675163254</v>
      </c>
      <c r="F30" s="59">
        <f t="shared" si="2"/>
        <v>-0.2950503270028037</v>
      </c>
      <c r="G30" s="59"/>
      <c r="H30" s="4">
        <v>23469.472000329763</v>
      </c>
      <c r="I30" s="23">
        <f t="shared" si="3"/>
        <v>-14154.691266765236</v>
      </c>
      <c r="J30" s="59">
        <f t="shared" si="4"/>
        <v>-0.37621278555168608</v>
      </c>
      <c r="K30" s="23">
        <f t="shared" si="5"/>
        <v>-3053.6695916019817</v>
      </c>
      <c r="L30" s="59">
        <f t="shared" si="6"/>
        <v>-0.11513227349096905</v>
      </c>
    </row>
    <row r="31" spans="2:12">
      <c r="B31" s="14" t="s">
        <v>691</v>
      </c>
      <c r="C31" s="4">
        <v>37983.221403249969</v>
      </c>
      <c r="D31" s="4">
        <v>26776.259507601171</v>
      </c>
      <c r="E31" s="23">
        <f t="shared" si="1"/>
        <v>-11206.961895648798</v>
      </c>
      <c r="F31" s="59">
        <f t="shared" si="2"/>
        <v>-0.29505032700280376</v>
      </c>
      <c r="G31" s="59"/>
      <c r="H31" s="4">
        <v>26273.062062631197</v>
      </c>
      <c r="I31" s="23">
        <f t="shared" si="3"/>
        <v>-11710.159340618771</v>
      </c>
      <c r="J31" s="59">
        <f t="shared" si="4"/>
        <v>-0.30829821452734424</v>
      </c>
      <c r="K31" s="23">
        <f t="shared" si="5"/>
        <v>-503.19744496997373</v>
      </c>
      <c r="L31" s="59">
        <f t="shared" si="6"/>
        <v>-1.8792671352289791E-2</v>
      </c>
    </row>
    <row r="32" spans="2:12">
      <c r="B32" s="14" t="s">
        <v>355</v>
      </c>
      <c r="C32" s="4">
        <v>41434.169045183771</v>
      </c>
      <c r="D32" s="4">
        <v>29209.00391931285</v>
      </c>
      <c r="E32" s="23">
        <f t="shared" si="1"/>
        <v>-12225.165125870921</v>
      </c>
      <c r="F32" s="59">
        <f t="shared" si="2"/>
        <v>-0.29505032700280376</v>
      </c>
      <c r="G32" s="59"/>
      <c r="H32" s="4">
        <v>23040.170483725095</v>
      </c>
      <c r="I32" s="23">
        <f t="shared" si="3"/>
        <v>-18393.998561458677</v>
      </c>
      <c r="J32" s="59">
        <f t="shared" si="4"/>
        <v>-0.4439330867574563</v>
      </c>
      <c r="K32" s="23">
        <f t="shared" si="5"/>
        <v>-6168.833435587756</v>
      </c>
      <c r="L32" s="59">
        <f t="shared" si="6"/>
        <v>-0.21119629593082268</v>
      </c>
    </row>
    <row r="33" spans="2:12">
      <c r="B33" s="14" t="s">
        <v>695</v>
      </c>
      <c r="C33" s="4">
        <v>72542.275913072648</v>
      </c>
      <c r="D33" s="4">
        <v>51138.653683392949</v>
      </c>
      <c r="E33" s="23">
        <f t="shared" si="1"/>
        <v>-21403.622229679699</v>
      </c>
      <c r="F33" s="59">
        <f t="shared" si="2"/>
        <v>-0.29505032700280376</v>
      </c>
      <c r="G33" s="59"/>
      <c r="H33" s="4">
        <v>50177.621771322381</v>
      </c>
      <c r="I33" s="23">
        <f t="shared" si="3"/>
        <v>-22364.654141750267</v>
      </c>
      <c r="J33" s="59">
        <f t="shared" si="4"/>
        <v>-0.30829821452734424</v>
      </c>
      <c r="K33" s="23">
        <f t="shared" si="5"/>
        <v>-961.03191207056807</v>
      </c>
      <c r="L33" s="59">
        <f t="shared" si="6"/>
        <v>-1.8792671352289802E-2</v>
      </c>
    </row>
    <row r="34" spans="2:12">
      <c r="B34" s="14" t="s">
        <v>639</v>
      </c>
      <c r="C34" s="4">
        <v>78277.002442521523</v>
      </c>
      <c r="D34" s="4">
        <v>55181.347275056287</v>
      </c>
      <c r="E34" s="23">
        <f t="shared" si="1"/>
        <v>-23095.655167465236</v>
      </c>
      <c r="F34" s="59">
        <f t="shared" si="2"/>
        <v>-0.29505032700280365</v>
      </c>
      <c r="G34" s="59"/>
      <c r="H34" s="4">
        <v>60781.506997928045</v>
      </c>
      <c r="I34" s="23">
        <f t="shared" si="3"/>
        <v>-17495.495444593478</v>
      </c>
      <c r="J34" s="59">
        <f t="shared" si="4"/>
        <v>-0.22350747855272496</v>
      </c>
      <c r="K34" s="23">
        <f t="shared" si="5"/>
        <v>5600.1597228717583</v>
      </c>
      <c r="L34" s="59">
        <f t="shared" si="6"/>
        <v>0.10148646235397749</v>
      </c>
    </row>
    <row r="35" spans="2:12">
      <c r="B35" s="14" t="s">
        <v>633</v>
      </c>
      <c r="C35" s="4">
        <v>79633.965197225611</v>
      </c>
      <c r="D35" s="4">
        <v>56137.937725254305</v>
      </c>
      <c r="E35" s="23">
        <f t="shared" si="1"/>
        <v>-23496.027471971305</v>
      </c>
      <c r="F35" s="59">
        <f t="shared" si="2"/>
        <v>-0.2950503270028037</v>
      </c>
      <c r="G35" s="59"/>
      <c r="H35" s="4">
        <v>67214.141423478097</v>
      </c>
      <c r="I35" s="23">
        <f t="shared" si="3"/>
        <v>-12419.823773747514</v>
      </c>
      <c r="J35" s="59">
        <f t="shared" si="4"/>
        <v>-0.15596138837225967</v>
      </c>
      <c r="K35" s="23">
        <f t="shared" si="5"/>
        <v>11076.203698223791</v>
      </c>
      <c r="L35" s="59">
        <f t="shared" si="6"/>
        <v>0.19730335931526449</v>
      </c>
    </row>
    <row r="36" spans="2:12">
      <c r="B36" s="14" t="s">
        <v>721</v>
      </c>
      <c r="C36" s="4">
        <v>83976.491144988147</v>
      </c>
      <c r="D36" s="4">
        <v>59199.199972111346</v>
      </c>
      <c r="E36" s="23">
        <f t="shared" si="1"/>
        <v>-24777.291172876801</v>
      </c>
      <c r="F36" s="59">
        <f t="shared" si="2"/>
        <v>-0.2950503270028037</v>
      </c>
      <c r="G36" s="59"/>
      <c r="H36" s="4">
        <v>64617.137482250255</v>
      </c>
      <c r="I36" s="23">
        <f t="shared" si="3"/>
        <v>-19359.353662737893</v>
      </c>
      <c r="J36" s="59">
        <f t="shared" si="4"/>
        <v>-0.23053301464231624</v>
      </c>
      <c r="K36" s="23">
        <f t="shared" si="5"/>
        <v>5417.9375101389087</v>
      </c>
      <c r="L36" s="59">
        <f t="shared" si="6"/>
        <v>9.1520451504265105E-2</v>
      </c>
    </row>
    <row r="37" spans="2:12">
      <c r="B37" s="14" t="s">
        <v>703</v>
      </c>
      <c r="C37" s="4">
        <v>87872.415937736281</v>
      </c>
      <c r="D37" s="4">
        <v>61945.630880780816</v>
      </c>
      <c r="E37" s="23">
        <f t="shared" si="1"/>
        <v>-25926.785056955465</v>
      </c>
      <c r="F37" s="59">
        <f t="shared" si="2"/>
        <v>-0.29505032700280365</v>
      </c>
      <c r="G37" s="59"/>
      <c r="H37" s="4">
        <v>62343.990720667913</v>
      </c>
      <c r="I37" s="23">
        <f t="shared" si="3"/>
        <v>-25528.425217068369</v>
      </c>
      <c r="J37" s="59">
        <f t="shared" si="4"/>
        <v>-0.29051693804751005</v>
      </c>
      <c r="K37" s="23">
        <f t="shared" si="5"/>
        <v>398.35983988709631</v>
      </c>
      <c r="L37" s="59">
        <f t="shared" si="6"/>
        <v>6.4307980114654221E-3</v>
      </c>
    </row>
    <row r="38" spans="2:12">
      <c r="B38" s="14" t="s">
        <v>717</v>
      </c>
      <c r="C38" s="4">
        <v>90131.313855243003</v>
      </c>
      <c r="D38" s="4">
        <v>63538.040229061226</v>
      </c>
      <c r="E38" s="23">
        <f t="shared" si="1"/>
        <v>-26593.273626181777</v>
      </c>
      <c r="F38" s="59">
        <f t="shared" si="2"/>
        <v>-0.29505032700280365</v>
      </c>
      <c r="G38" s="59"/>
      <c r="H38" s="4">
        <v>58086.688862716968</v>
      </c>
      <c r="I38" s="23">
        <f t="shared" si="3"/>
        <v>-32044.624992526034</v>
      </c>
      <c r="J38" s="59">
        <f t="shared" si="4"/>
        <v>-0.35553265143778856</v>
      </c>
      <c r="K38" s="23">
        <f t="shared" si="5"/>
        <v>-5451.3513663442573</v>
      </c>
      <c r="L38" s="59">
        <f t="shared" si="6"/>
        <v>-8.5796655778043671E-2</v>
      </c>
    </row>
    <row r="39" spans="2:12">
      <c r="B39" s="14" t="s">
        <v>714</v>
      </c>
      <c r="C39" s="4">
        <v>93417.624241197918</v>
      </c>
      <c r="D39" s="4">
        <v>65854.723661007432</v>
      </c>
      <c r="E39" s="23">
        <f t="shared" si="1"/>
        <v>-27562.900580190486</v>
      </c>
      <c r="F39" s="59">
        <f t="shared" si="2"/>
        <v>-0.2950503270028037</v>
      </c>
      <c r="G39" s="59"/>
      <c r="H39" s="4">
        <v>17911.124790772927</v>
      </c>
      <c r="I39" s="23">
        <f t="shared" si="3"/>
        <v>-75506.499450424992</v>
      </c>
      <c r="J39" s="59">
        <f t="shared" si="4"/>
        <v>-0.80826824770743877</v>
      </c>
      <c r="K39" s="23">
        <f t="shared" si="5"/>
        <v>-47943.598870234506</v>
      </c>
      <c r="L39" s="59">
        <f t="shared" si="6"/>
        <v>-0.72802065220147449</v>
      </c>
    </row>
    <row r="40" spans="2:12">
      <c r="B40" s="14" t="s">
        <v>710</v>
      </c>
      <c r="C40" s="4">
        <v>97172.1381021868</v>
      </c>
      <c r="D40" s="4">
        <v>68501.46697957498</v>
      </c>
      <c r="E40" s="23">
        <f t="shared" si="1"/>
        <v>-28670.67112261182</v>
      </c>
      <c r="F40" s="59">
        <f t="shared" si="2"/>
        <v>-0.29505032700280376</v>
      </c>
      <c r="G40" s="59"/>
      <c r="H40" s="4">
        <v>9696.0041866767133</v>
      </c>
      <c r="I40" s="23">
        <f t="shared" si="3"/>
        <v>-87476.133915510087</v>
      </c>
      <c r="J40" s="59">
        <f t="shared" si="4"/>
        <v>-0.90021826856912068</v>
      </c>
      <c r="K40" s="23">
        <f t="shared" si="5"/>
        <v>-58805.462792898266</v>
      </c>
      <c r="L40" s="59">
        <f t="shared" si="6"/>
        <v>-0.85845552490769628</v>
      </c>
    </row>
    <row r="41" spans="2:12">
      <c r="B41" s="14" t="s">
        <v>494</v>
      </c>
      <c r="C41" s="4">
        <v>98510.256279852532</v>
      </c>
      <c r="D41" s="4">
        <v>69444.772951352046</v>
      </c>
      <c r="E41" s="23">
        <f t="shared" si="1"/>
        <v>-29065.483328500486</v>
      </c>
      <c r="F41" s="59">
        <f t="shared" si="2"/>
        <v>-0.2950503270028037</v>
      </c>
      <c r="G41" s="59"/>
      <c r="H41" s="4">
        <v>26024.700908764324</v>
      </c>
      <c r="I41" s="23">
        <f t="shared" si="3"/>
        <v>-72485.555371088209</v>
      </c>
      <c r="J41" s="59">
        <f t="shared" si="4"/>
        <v>-0.73581734642094387</v>
      </c>
      <c r="K41" s="23">
        <f t="shared" si="5"/>
        <v>-43420.072042587723</v>
      </c>
      <c r="L41" s="59">
        <f t="shared" si="6"/>
        <v>-0.62524607968701496</v>
      </c>
    </row>
  </sheetData>
  <sortState xmlns:xlrd2="http://schemas.microsoft.com/office/spreadsheetml/2017/richdata2" ref="B4:F41">
    <sortCondition ref="C4:C4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7DB2-F59B-48E4-80A5-CD85F74462ED}">
  <sheetPr>
    <pageSetUpPr fitToPage="1"/>
  </sheetPr>
  <dimension ref="A1:Q97"/>
  <sheetViews>
    <sheetView zoomScaleNormal="100" workbookViewId="0">
      <selection activeCell="F26" sqref="F26"/>
    </sheetView>
  </sheetViews>
  <sheetFormatPr defaultRowHeight="14.45"/>
  <cols>
    <col min="1" max="1" width="10.7109375" bestFit="1" customWidth="1"/>
    <col min="2" max="2" width="31.7109375" bestFit="1" customWidth="1"/>
    <col min="3" max="3" width="32.140625" bestFit="1" customWidth="1"/>
    <col min="4" max="4" width="26.5703125" bestFit="1" customWidth="1"/>
    <col min="5" max="5" width="12" customWidth="1"/>
    <col min="6" max="6" width="12.7109375" customWidth="1"/>
    <col min="7" max="7" width="12.7109375" style="4" customWidth="1"/>
    <col min="8" max="8" width="12.28515625" style="4" bestFit="1" customWidth="1"/>
    <col min="9" max="9" width="13.85546875" customWidth="1"/>
    <col min="10" max="10" width="18.28515625" bestFit="1" customWidth="1"/>
  </cols>
  <sheetData>
    <row r="1" spans="1:17" ht="32.450000000000003" customHeight="1">
      <c r="A1" s="5" t="s">
        <v>186</v>
      </c>
      <c r="B1" s="25" t="s">
        <v>187</v>
      </c>
      <c r="C1" s="5" t="s">
        <v>188</v>
      </c>
      <c r="D1" s="5" t="s">
        <v>189</v>
      </c>
      <c r="E1" s="25" t="s">
        <v>744</v>
      </c>
      <c r="F1" s="53" t="s">
        <v>745</v>
      </c>
      <c r="G1" s="53" t="s">
        <v>746</v>
      </c>
      <c r="H1" s="25" t="s">
        <v>747</v>
      </c>
      <c r="I1" s="25" t="s">
        <v>748</v>
      </c>
      <c r="J1" s="53" t="s">
        <v>749</v>
      </c>
      <c r="L1" t="s">
        <v>750</v>
      </c>
    </row>
    <row r="2" spans="1:17">
      <c r="A2" s="14" t="s">
        <v>633</v>
      </c>
      <c r="B2" s="14" t="s">
        <v>218</v>
      </c>
      <c r="C2" s="14" t="s">
        <v>634</v>
      </c>
      <c r="D2" s="14"/>
      <c r="E2" s="1"/>
      <c r="F2" s="1"/>
      <c r="G2" s="8"/>
      <c r="H2" s="8">
        <f>'Area 4'!X4</f>
        <v>79633.965197225611</v>
      </c>
      <c r="I2" s="8">
        <f>SUM(E2:H2)</f>
        <v>79633.965197225611</v>
      </c>
      <c r="J2" s="31">
        <f>I2/15</f>
        <v>5308.9310131483744</v>
      </c>
    </row>
    <row r="3" spans="1:17">
      <c r="A3" s="7" t="s">
        <v>322</v>
      </c>
      <c r="B3" s="7" t="s">
        <v>323</v>
      </c>
      <c r="C3" s="7" t="s">
        <v>324</v>
      </c>
      <c r="D3" s="7" t="s">
        <v>325</v>
      </c>
      <c r="E3" s="1"/>
      <c r="F3" s="8">
        <f>'Area 2'!X5</f>
        <v>3558.435902509751</v>
      </c>
      <c r="G3" s="8">
        <f>'Area 3'!X4</f>
        <v>43772.361845264393</v>
      </c>
      <c r="H3" s="8"/>
      <c r="I3" s="8">
        <f t="shared" ref="I3:I66" si="0">SUM(E3:H3)</f>
        <v>47330.797747774144</v>
      </c>
      <c r="J3" s="31">
        <f t="shared" ref="J3:J66" si="1">I3/15</f>
        <v>3155.3865165182765</v>
      </c>
      <c r="L3">
        <v>1</v>
      </c>
    </row>
    <row r="4" spans="1:17">
      <c r="A4" s="7" t="s">
        <v>327</v>
      </c>
      <c r="B4" s="7" t="s">
        <v>328</v>
      </c>
      <c r="C4" s="7" t="s">
        <v>329</v>
      </c>
      <c r="D4" s="7" t="s">
        <v>330</v>
      </c>
      <c r="E4" s="1"/>
      <c r="F4" s="8">
        <f>'Area 2'!X6</f>
        <v>1142.7429617415664</v>
      </c>
      <c r="G4" s="8"/>
      <c r="H4" s="8">
        <f>'Area 4'!X5</f>
        <v>14.324942708008619</v>
      </c>
      <c r="I4" s="8">
        <f t="shared" si="0"/>
        <v>1157.0679044495751</v>
      </c>
      <c r="J4" s="31">
        <f t="shared" si="1"/>
        <v>77.137860296638337</v>
      </c>
      <c r="L4">
        <v>1</v>
      </c>
    </row>
    <row r="5" spans="1:17">
      <c r="A5" s="7" t="s">
        <v>335</v>
      </c>
      <c r="B5" s="7" t="s">
        <v>336</v>
      </c>
      <c r="C5" s="7" t="s">
        <v>324</v>
      </c>
      <c r="D5" s="7" t="s">
        <v>325</v>
      </c>
      <c r="E5" s="1"/>
      <c r="F5" s="8">
        <f>'Area 2'!X7</f>
        <v>2969.8485539121393</v>
      </c>
      <c r="G5" s="8">
        <f>'Area 3'!X5</f>
        <v>97419.04521275076</v>
      </c>
      <c r="H5" s="8"/>
      <c r="I5" s="8">
        <f t="shared" si="0"/>
        <v>100388.89376666289</v>
      </c>
      <c r="J5" s="31">
        <f t="shared" si="1"/>
        <v>6692.5929177775261</v>
      </c>
    </row>
    <row r="6" spans="1:17">
      <c r="A6" s="7" t="s">
        <v>341</v>
      </c>
      <c r="B6" s="7" t="s">
        <v>342</v>
      </c>
      <c r="C6" s="7" t="s">
        <v>343</v>
      </c>
      <c r="D6" s="7"/>
      <c r="E6" s="1"/>
      <c r="F6" s="8">
        <f>'Area 2'!X8</f>
        <v>21953.382104895685</v>
      </c>
      <c r="G6" s="8">
        <f>'Area 3'!X6</f>
        <v>15381.017771276531</v>
      </c>
      <c r="H6" s="8"/>
      <c r="I6" s="8">
        <f t="shared" si="0"/>
        <v>37334.399876172218</v>
      </c>
      <c r="J6" s="31">
        <f t="shared" si="1"/>
        <v>2488.9599917448145</v>
      </c>
      <c r="L6">
        <v>1</v>
      </c>
    </row>
    <row r="7" spans="1:17">
      <c r="A7" s="7" t="s">
        <v>347</v>
      </c>
      <c r="B7" s="7" t="s">
        <v>348</v>
      </c>
      <c r="C7" s="7" t="s">
        <v>349</v>
      </c>
      <c r="D7" s="7" t="s">
        <v>350</v>
      </c>
      <c r="E7" s="1"/>
      <c r="F7" s="8">
        <f>'Area 2'!X9</f>
        <v>15211.141517269589</v>
      </c>
      <c r="G7" s="8">
        <f>'Area 3'!X7</f>
        <v>0</v>
      </c>
      <c r="H7" s="8"/>
      <c r="I7" s="8">
        <f t="shared" si="0"/>
        <v>15211.141517269589</v>
      </c>
      <c r="J7" s="31">
        <f t="shared" si="1"/>
        <v>1014.0761011513059</v>
      </c>
      <c r="L7">
        <v>1</v>
      </c>
    </row>
    <row r="8" spans="1:17">
      <c r="A8" s="7" t="s">
        <v>355</v>
      </c>
      <c r="B8" s="7" t="s">
        <v>356</v>
      </c>
      <c r="C8" s="7" t="s">
        <v>357</v>
      </c>
      <c r="D8" s="7"/>
      <c r="E8" s="1"/>
      <c r="F8" s="8">
        <f>'Area 2'!X10</f>
        <v>21.196668281600328</v>
      </c>
      <c r="G8" s="8">
        <f>'Area 3'!X8</f>
        <v>2085.9237245933914</v>
      </c>
      <c r="H8" s="8">
        <f>'Area 4'!X6</f>
        <v>41434.169045183771</v>
      </c>
      <c r="I8" s="8">
        <f t="shared" si="0"/>
        <v>43541.28943805876</v>
      </c>
      <c r="J8" s="31">
        <f t="shared" si="1"/>
        <v>2902.7526292039174</v>
      </c>
      <c r="L8">
        <v>1</v>
      </c>
    </row>
    <row r="9" spans="1:17">
      <c r="A9" s="14" t="s">
        <v>639</v>
      </c>
      <c r="B9" s="14" t="s">
        <v>640</v>
      </c>
      <c r="C9" s="14" t="s">
        <v>641</v>
      </c>
      <c r="D9" s="14" t="s">
        <v>642</v>
      </c>
      <c r="E9" s="1"/>
      <c r="F9" s="1"/>
      <c r="G9" s="8"/>
      <c r="H9" s="8">
        <f>'Area 4'!X7</f>
        <v>78277.002442521523</v>
      </c>
      <c r="I9" s="8">
        <f t="shared" si="0"/>
        <v>78277.002442521523</v>
      </c>
      <c r="J9" s="31">
        <f t="shared" si="1"/>
        <v>5218.4668295014353</v>
      </c>
      <c r="L9">
        <v>1</v>
      </c>
    </row>
    <row r="10" spans="1:17">
      <c r="A10" s="7" t="s">
        <v>363</v>
      </c>
      <c r="B10" s="7" t="s">
        <v>364</v>
      </c>
      <c r="C10" s="7" t="s">
        <v>365</v>
      </c>
      <c r="D10" s="7"/>
      <c r="E10" s="1"/>
      <c r="F10" s="8">
        <f>'Area 2'!X11</f>
        <v>163.85820361032336</v>
      </c>
      <c r="G10" s="8">
        <f>'Area 3'!X9</f>
        <v>2149.9964669870451</v>
      </c>
      <c r="H10" s="8"/>
      <c r="I10" s="8">
        <f t="shared" si="0"/>
        <v>2313.8546705973686</v>
      </c>
      <c r="J10" s="31">
        <f t="shared" si="1"/>
        <v>154.25697803982456</v>
      </c>
    </row>
    <row r="11" spans="1:17">
      <c r="A11" s="7" t="s">
        <v>368</v>
      </c>
      <c r="B11" s="7" t="s">
        <v>369</v>
      </c>
      <c r="C11" s="7" t="s">
        <v>370</v>
      </c>
      <c r="D11" s="7"/>
      <c r="E11" s="1"/>
      <c r="F11" s="8">
        <f>'Area 2'!X12</f>
        <v>56.894035590261325</v>
      </c>
      <c r="G11" s="8"/>
      <c r="H11" s="8"/>
      <c r="I11" s="8">
        <f t="shared" si="0"/>
        <v>56.894035590261325</v>
      </c>
      <c r="J11" s="31">
        <f t="shared" si="1"/>
        <v>3.7929357060174218</v>
      </c>
    </row>
    <row r="12" spans="1:17">
      <c r="A12" s="7" t="s">
        <v>374</v>
      </c>
      <c r="B12" s="7" t="s">
        <v>375</v>
      </c>
      <c r="C12" s="7" t="s">
        <v>370</v>
      </c>
      <c r="D12" s="7"/>
      <c r="E12" s="1"/>
      <c r="F12" s="8">
        <f>'Area 2'!X13</f>
        <v>4142.1038878201653</v>
      </c>
      <c r="G12" s="8">
        <f>'Area 3'!X10</f>
        <v>570.24740730351778</v>
      </c>
      <c r="H12" s="8"/>
      <c r="I12" s="8">
        <f t="shared" si="0"/>
        <v>4712.3512951236826</v>
      </c>
      <c r="J12" s="31">
        <f t="shared" si="1"/>
        <v>314.15675300824552</v>
      </c>
    </row>
    <row r="13" spans="1:17">
      <c r="A13" s="14" t="s">
        <v>643</v>
      </c>
      <c r="B13" s="14" t="s">
        <v>644</v>
      </c>
      <c r="C13" s="14" t="s">
        <v>645</v>
      </c>
      <c r="D13" s="14" t="s">
        <v>646</v>
      </c>
      <c r="E13" s="1"/>
      <c r="F13" s="1"/>
      <c r="G13" s="8"/>
      <c r="H13" s="8">
        <f>'Area 4'!X8</f>
        <v>24012.357573235771</v>
      </c>
      <c r="I13" s="8">
        <f t="shared" si="0"/>
        <v>24012.357573235771</v>
      </c>
      <c r="J13" s="31">
        <f t="shared" si="1"/>
        <v>1600.8238382157181</v>
      </c>
      <c r="L13">
        <v>1</v>
      </c>
    </row>
    <row r="14" spans="1:17">
      <c r="A14" s="7" t="s">
        <v>209</v>
      </c>
      <c r="B14" s="7" t="s">
        <v>210</v>
      </c>
      <c r="C14" s="7" t="s">
        <v>211</v>
      </c>
      <c r="D14" s="7" t="s">
        <v>212</v>
      </c>
      <c r="E14" s="8">
        <f>'Area 1'!W3</f>
        <v>15810.715231986822</v>
      </c>
      <c r="F14" s="1"/>
      <c r="G14" s="8"/>
      <c r="H14" s="8"/>
      <c r="I14" s="8">
        <f t="shared" si="0"/>
        <v>15810.715231986822</v>
      </c>
      <c r="J14" s="31">
        <f t="shared" si="1"/>
        <v>1054.0476821324548</v>
      </c>
    </row>
    <row r="15" spans="1:17">
      <c r="A15" s="14" t="s">
        <v>652</v>
      </c>
      <c r="B15" s="14" t="s">
        <v>653</v>
      </c>
      <c r="C15" s="14" t="s">
        <v>654</v>
      </c>
      <c r="D15" s="14" t="s">
        <v>655</v>
      </c>
      <c r="E15" s="1"/>
      <c r="F15" s="1"/>
      <c r="G15" s="8"/>
      <c r="H15" s="8">
        <f>'Area 4'!X9</f>
        <v>106.8778613166504</v>
      </c>
      <c r="I15" s="8">
        <f t="shared" si="0"/>
        <v>106.8778613166504</v>
      </c>
      <c r="J15" s="31">
        <f t="shared" si="1"/>
        <v>7.1251907544433601</v>
      </c>
    </row>
    <row r="16" spans="1:17">
      <c r="A16" s="7" t="s">
        <v>217</v>
      </c>
      <c r="B16" s="7" t="s">
        <v>218</v>
      </c>
      <c r="C16" s="7" t="s">
        <v>211</v>
      </c>
      <c r="D16" s="7" t="s">
        <v>212</v>
      </c>
      <c r="E16" s="8">
        <f>'Area 1'!W4</f>
        <v>865.30222677018162</v>
      </c>
      <c r="F16" s="1"/>
      <c r="G16" s="8"/>
      <c r="H16" s="8"/>
      <c r="I16" s="8">
        <f t="shared" si="0"/>
        <v>865.30222677018162</v>
      </c>
      <c r="J16" s="31">
        <f t="shared" si="1"/>
        <v>57.686815118012106</v>
      </c>
      <c r="Q16" s="44"/>
    </row>
    <row r="17" spans="1:16">
      <c r="A17" s="7" t="s">
        <v>223</v>
      </c>
      <c r="B17" s="7" t="s">
        <v>224</v>
      </c>
      <c r="C17" s="7" t="s">
        <v>225</v>
      </c>
      <c r="D17" s="7"/>
      <c r="E17" s="8">
        <f>'Area 1'!W5</f>
        <v>543.3467581800619</v>
      </c>
      <c r="F17" s="1"/>
      <c r="G17" s="8"/>
      <c r="H17" s="8"/>
      <c r="I17" s="8">
        <f t="shared" si="0"/>
        <v>543.3467581800619</v>
      </c>
      <c r="J17" s="31">
        <f t="shared" si="1"/>
        <v>36.223117212004126</v>
      </c>
    </row>
    <row r="18" spans="1:16">
      <c r="A18" s="7" t="s">
        <v>376</v>
      </c>
      <c r="B18" s="7" t="s">
        <v>377</v>
      </c>
      <c r="C18" s="7" t="s">
        <v>378</v>
      </c>
      <c r="D18" s="7" t="s">
        <v>379</v>
      </c>
      <c r="E18" s="1"/>
      <c r="F18" s="8">
        <f>'Area 2'!X14</f>
        <v>8656.632513912271</v>
      </c>
      <c r="G18" s="8"/>
      <c r="H18" s="8">
        <f>'Area 4'!X10</f>
        <v>548.10141751765582</v>
      </c>
      <c r="I18" s="8">
        <f t="shared" si="0"/>
        <v>9204.7339314299261</v>
      </c>
      <c r="J18" s="31">
        <f t="shared" si="1"/>
        <v>613.64892876199508</v>
      </c>
      <c r="L18">
        <v>1</v>
      </c>
    </row>
    <row r="19" spans="1:16">
      <c r="A19" s="7" t="s">
        <v>385</v>
      </c>
      <c r="B19" s="7" t="s">
        <v>386</v>
      </c>
      <c r="C19" s="7" t="s">
        <v>387</v>
      </c>
      <c r="D19" s="7" t="s">
        <v>388</v>
      </c>
      <c r="E19" s="1"/>
      <c r="F19" s="8">
        <f>'Area 2'!X15</f>
        <v>20.256201770812606</v>
      </c>
      <c r="G19" s="8">
        <f>'Area 3'!X11</f>
        <v>797.34968312102353</v>
      </c>
      <c r="H19" s="8"/>
      <c r="I19" s="8">
        <f t="shared" si="0"/>
        <v>817.60588489183613</v>
      </c>
      <c r="J19" s="31">
        <f t="shared" si="1"/>
        <v>54.507058992789077</v>
      </c>
    </row>
    <row r="20" spans="1:16">
      <c r="A20" s="7" t="s">
        <v>393</v>
      </c>
      <c r="B20" s="7" t="s">
        <v>394</v>
      </c>
      <c r="C20" s="7" t="s">
        <v>395</v>
      </c>
      <c r="D20" s="7" t="s">
        <v>396</v>
      </c>
      <c r="E20" s="1"/>
      <c r="F20" s="8">
        <f>'Area 2'!X16</f>
        <v>10</v>
      </c>
      <c r="G20" s="8"/>
      <c r="H20" s="8"/>
      <c r="I20" s="8">
        <f t="shared" si="0"/>
        <v>10</v>
      </c>
      <c r="J20" s="31">
        <f t="shared" si="1"/>
        <v>0.66666666666666663</v>
      </c>
      <c r="P20" s="14"/>
    </row>
    <row r="21" spans="1:16">
      <c r="A21" s="7" t="s">
        <v>400</v>
      </c>
      <c r="B21" s="7" t="s">
        <v>401</v>
      </c>
      <c r="C21" s="7" t="s">
        <v>402</v>
      </c>
      <c r="D21" s="7"/>
      <c r="E21" s="1"/>
      <c r="F21" s="8">
        <f>'Area 2'!X17</f>
        <v>6478.9099646055338</v>
      </c>
      <c r="G21" s="8"/>
      <c r="H21" s="8">
        <f>'Area 4'!X11</f>
        <v>318.51931433101515</v>
      </c>
      <c r="I21" s="8">
        <f t="shared" si="0"/>
        <v>6797.4292789365491</v>
      </c>
      <c r="J21" s="31">
        <f t="shared" si="1"/>
        <v>453.16195192910328</v>
      </c>
      <c r="L21">
        <v>1</v>
      </c>
      <c r="P21" s="14"/>
    </row>
    <row r="22" spans="1:16">
      <c r="A22" s="7" t="s">
        <v>403</v>
      </c>
      <c r="B22" s="7" t="s">
        <v>404</v>
      </c>
      <c r="C22" s="7" t="s">
        <v>405</v>
      </c>
      <c r="D22" s="7" t="s">
        <v>406</v>
      </c>
      <c r="E22" s="1"/>
      <c r="F22" s="8">
        <f>'Area 2'!X18</f>
        <v>989.298425770937</v>
      </c>
      <c r="G22" s="8"/>
      <c r="H22" s="8"/>
      <c r="I22" s="8">
        <f t="shared" si="0"/>
        <v>989.298425770937</v>
      </c>
      <c r="J22" s="31">
        <f t="shared" si="1"/>
        <v>65.95322838472913</v>
      </c>
      <c r="L22">
        <v>1</v>
      </c>
      <c r="P22" s="14"/>
    </row>
    <row r="23" spans="1:16">
      <c r="A23" s="7" t="s">
        <v>407</v>
      </c>
      <c r="B23" s="7" t="s">
        <v>408</v>
      </c>
      <c r="C23" s="7" t="s">
        <v>409</v>
      </c>
      <c r="D23" s="7" t="s">
        <v>410</v>
      </c>
      <c r="E23" s="1"/>
      <c r="F23" s="8">
        <f>'Area 2'!X19</f>
        <v>10993.368150898248</v>
      </c>
      <c r="G23" s="8"/>
      <c r="H23" s="8">
        <f>'Area 4'!X12</f>
        <v>295.38491487743971</v>
      </c>
      <c r="I23" s="8">
        <f t="shared" si="0"/>
        <v>11288.753065775687</v>
      </c>
      <c r="J23" s="31">
        <f t="shared" si="1"/>
        <v>752.58353771837915</v>
      </c>
      <c r="L23">
        <v>1</v>
      </c>
    </row>
    <row r="24" spans="1:16">
      <c r="A24" s="7" t="s">
        <v>413</v>
      </c>
      <c r="B24" s="7" t="s">
        <v>414</v>
      </c>
      <c r="C24" s="7" t="s">
        <v>415</v>
      </c>
      <c r="D24" s="7" t="s">
        <v>416</v>
      </c>
      <c r="E24" s="1"/>
      <c r="F24" s="8">
        <f>'Area 2'!X20</f>
        <v>4354.7216628359447</v>
      </c>
      <c r="G24" s="8"/>
      <c r="H24" s="8">
        <f>'Area 4'!X13</f>
        <v>185.68802740220795</v>
      </c>
      <c r="I24" s="8">
        <f t="shared" si="0"/>
        <v>4540.4096902381525</v>
      </c>
      <c r="J24" s="31">
        <f t="shared" si="1"/>
        <v>302.69397934921017</v>
      </c>
      <c r="L24">
        <v>1</v>
      </c>
    </row>
    <row r="25" spans="1:16">
      <c r="A25" s="7" t="s">
        <v>230</v>
      </c>
      <c r="B25" s="7" t="s">
        <v>231</v>
      </c>
      <c r="C25" s="7" t="s">
        <v>232</v>
      </c>
      <c r="D25" s="7" t="s">
        <v>233</v>
      </c>
      <c r="E25" s="8">
        <f>'Area 1'!W6</f>
        <v>3521.247222901728</v>
      </c>
      <c r="F25" s="1"/>
      <c r="G25" s="8"/>
      <c r="H25" s="8">
        <f>'Area 4'!X14</f>
        <v>2005.7983950080086</v>
      </c>
      <c r="I25" s="8">
        <f t="shared" si="0"/>
        <v>5527.0456179097364</v>
      </c>
      <c r="J25" s="31">
        <f t="shared" si="1"/>
        <v>368.46970786064907</v>
      </c>
    </row>
    <row r="26" spans="1:16">
      <c r="A26" s="7" t="s">
        <v>417</v>
      </c>
      <c r="B26" s="7" t="s">
        <v>418</v>
      </c>
      <c r="C26" s="7" t="s">
        <v>419</v>
      </c>
      <c r="D26" s="7" t="s">
        <v>420</v>
      </c>
      <c r="E26" s="1"/>
      <c r="F26" s="8">
        <f>'Area 2'!X21</f>
        <v>7493.7285393179891</v>
      </c>
      <c r="G26" s="8"/>
      <c r="H26" s="8">
        <f>'Area 4'!X15</f>
        <v>469.04611872265656</v>
      </c>
      <c r="I26" s="8">
        <f t="shared" si="0"/>
        <v>7962.7746580406456</v>
      </c>
      <c r="J26" s="31">
        <f t="shared" si="1"/>
        <v>530.8516438693764</v>
      </c>
      <c r="L26">
        <v>1</v>
      </c>
    </row>
    <row r="27" spans="1:16">
      <c r="A27" s="7" t="s">
        <v>423</v>
      </c>
      <c r="B27" s="7" t="s">
        <v>424</v>
      </c>
      <c r="C27" s="7" t="s">
        <v>425</v>
      </c>
      <c r="D27" s="7"/>
      <c r="E27" s="1"/>
      <c r="F27" s="8">
        <f>'Area 2'!X22</f>
        <v>7532.0515977434079</v>
      </c>
      <c r="G27" s="8"/>
      <c r="H27" s="8">
        <f>'Area 4'!X16</f>
        <v>367.69906416278803</v>
      </c>
      <c r="I27" s="8">
        <f t="shared" si="0"/>
        <v>7899.750661906196</v>
      </c>
      <c r="J27" s="31">
        <f t="shared" si="1"/>
        <v>526.6500441270797</v>
      </c>
      <c r="L27">
        <v>1</v>
      </c>
    </row>
    <row r="28" spans="1:16">
      <c r="A28" s="7" t="s">
        <v>238</v>
      </c>
      <c r="B28" s="7" t="s">
        <v>239</v>
      </c>
      <c r="C28" s="7" t="s">
        <v>240</v>
      </c>
      <c r="D28" s="7"/>
      <c r="E28" s="8">
        <f>'Area 1'!W7</f>
        <v>1468.1244415604231</v>
      </c>
      <c r="F28" s="1"/>
      <c r="G28" s="8"/>
      <c r="H28" s="8"/>
      <c r="I28" s="8">
        <f t="shared" si="0"/>
        <v>1468.1244415604231</v>
      </c>
      <c r="J28" s="31">
        <f t="shared" si="1"/>
        <v>97.874962770694864</v>
      </c>
      <c r="L28">
        <v>1</v>
      </c>
    </row>
    <row r="29" spans="1:16">
      <c r="A29" s="7" t="s">
        <v>246</v>
      </c>
      <c r="B29" s="7" t="s">
        <v>247</v>
      </c>
      <c r="C29" s="7" t="s">
        <v>248</v>
      </c>
      <c r="D29" s="7"/>
      <c r="E29" s="8">
        <f>'Area 1'!W8</f>
        <v>14143.401169707759</v>
      </c>
      <c r="F29" s="1"/>
      <c r="G29" s="8"/>
      <c r="H29" s="8"/>
      <c r="I29" s="8">
        <f t="shared" si="0"/>
        <v>14143.401169707759</v>
      </c>
      <c r="J29" s="31">
        <f t="shared" si="1"/>
        <v>942.89341131385061</v>
      </c>
      <c r="L29">
        <v>1</v>
      </c>
    </row>
    <row r="30" spans="1:16">
      <c r="A30" s="7" t="s">
        <v>251</v>
      </c>
      <c r="B30" s="7" t="s">
        <v>252</v>
      </c>
      <c r="C30" s="7" t="s">
        <v>253</v>
      </c>
      <c r="D30" s="7"/>
      <c r="E30" s="8">
        <f>'Area 1'!W9</f>
        <v>13970.165612599249</v>
      </c>
      <c r="F30" s="8">
        <f>'Area 2'!X23</f>
        <v>370.0374002060945</v>
      </c>
      <c r="G30" s="8"/>
      <c r="H30" s="8">
        <f>'Area 4'!X17</f>
        <v>227.13077609222219</v>
      </c>
      <c r="I30" s="8">
        <f t="shared" si="0"/>
        <v>14567.333788897566</v>
      </c>
      <c r="J30" s="31">
        <f t="shared" si="1"/>
        <v>971.15558592650439</v>
      </c>
      <c r="L30">
        <v>1</v>
      </c>
    </row>
    <row r="31" spans="1:16">
      <c r="A31" s="7" t="s">
        <v>428</v>
      </c>
      <c r="B31" s="7" t="s">
        <v>429</v>
      </c>
      <c r="C31" s="7" t="s">
        <v>430</v>
      </c>
      <c r="D31" s="7" t="s">
        <v>431</v>
      </c>
      <c r="E31" s="1"/>
      <c r="F31" s="8">
        <f>'Area 2'!X24</f>
        <v>2884.9381351922134</v>
      </c>
      <c r="G31" s="8"/>
      <c r="H31" s="8">
        <f>'Area 4'!X18</f>
        <v>71.011881766438435</v>
      </c>
      <c r="I31" s="8">
        <f t="shared" si="0"/>
        <v>2955.9500169586518</v>
      </c>
      <c r="J31" s="31">
        <f t="shared" si="1"/>
        <v>197.06333446391011</v>
      </c>
      <c r="L31">
        <v>1</v>
      </c>
    </row>
    <row r="32" spans="1:16">
      <c r="A32" s="7" t="s">
        <v>256</v>
      </c>
      <c r="B32" s="7" t="s">
        <v>257</v>
      </c>
      <c r="C32" s="7" t="s">
        <v>258</v>
      </c>
      <c r="D32" s="7"/>
      <c r="E32" s="8">
        <f>'Area 1'!W10</f>
        <v>1740.5858235456051</v>
      </c>
      <c r="F32" s="8">
        <f>'Area 2'!X25</f>
        <v>180.13550860472637</v>
      </c>
      <c r="G32" s="8"/>
      <c r="H32" s="8">
        <f>'Area 4'!X19</f>
        <v>5670.6090051354968</v>
      </c>
      <c r="I32" s="8">
        <f t="shared" si="0"/>
        <v>7591.3303372858281</v>
      </c>
      <c r="J32" s="31">
        <f t="shared" si="1"/>
        <v>506.08868915238855</v>
      </c>
      <c r="L32">
        <v>1</v>
      </c>
    </row>
    <row r="33" spans="1:12">
      <c r="A33" s="7" t="s">
        <v>436</v>
      </c>
      <c r="B33" s="7" t="s">
        <v>437</v>
      </c>
      <c r="C33" s="7" t="s">
        <v>438</v>
      </c>
      <c r="D33" s="7" t="s">
        <v>439</v>
      </c>
      <c r="E33" s="1"/>
      <c r="F33" s="8">
        <f>'Area 2'!X26</f>
        <v>8027.9668232395506</v>
      </c>
      <c r="G33" s="8"/>
      <c r="H33" s="8"/>
      <c r="I33" s="8">
        <f t="shared" si="0"/>
        <v>8027.9668232395506</v>
      </c>
      <c r="J33" s="31">
        <f t="shared" si="1"/>
        <v>535.19778821597004</v>
      </c>
      <c r="L33">
        <v>1</v>
      </c>
    </row>
    <row r="34" spans="1:12">
      <c r="A34" s="7" t="s">
        <v>259</v>
      </c>
      <c r="B34" s="7" t="s">
        <v>260</v>
      </c>
      <c r="C34" s="7" t="s">
        <v>261</v>
      </c>
      <c r="D34" s="7" t="s">
        <v>262</v>
      </c>
      <c r="E34" s="8">
        <f>'Area 1'!W11</f>
        <v>20099.7024184496</v>
      </c>
      <c r="F34" s="1"/>
      <c r="G34" s="8"/>
      <c r="H34" s="8"/>
      <c r="I34" s="8">
        <f t="shared" si="0"/>
        <v>20099.7024184496</v>
      </c>
      <c r="J34" s="31">
        <f t="shared" si="1"/>
        <v>1339.9801612299734</v>
      </c>
    </row>
    <row r="35" spans="1:12">
      <c r="A35" s="7" t="s">
        <v>266</v>
      </c>
      <c r="B35" s="7" t="s">
        <v>267</v>
      </c>
      <c r="C35" s="7" t="s">
        <v>268</v>
      </c>
      <c r="D35" s="7" t="s">
        <v>269</v>
      </c>
      <c r="E35" s="8">
        <f>'Area 1'!W12</f>
        <v>1958.7500536601681</v>
      </c>
      <c r="F35" s="8">
        <f>'Area 2'!X27</f>
        <v>196.41281359912932</v>
      </c>
      <c r="G35" s="8"/>
      <c r="H35" s="8">
        <f>'Area 4'!X20</f>
        <v>76.144347870377359</v>
      </c>
      <c r="I35" s="8">
        <f t="shared" si="0"/>
        <v>2231.3072151296747</v>
      </c>
      <c r="J35" s="31">
        <f t="shared" si="1"/>
        <v>148.75381434197831</v>
      </c>
    </row>
    <row r="36" spans="1:12">
      <c r="A36" s="7" t="s">
        <v>270</v>
      </c>
      <c r="B36" s="7" t="s">
        <v>271</v>
      </c>
      <c r="C36" s="7" t="s">
        <v>272</v>
      </c>
      <c r="D36" s="7"/>
      <c r="E36" s="8">
        <f>'Area 1'!W13</f>
        <v>18038.595374969602</v>
      </c>
      <c r="F36" s="1"/>
      <c r="G36" s="8"/>
      <c r="H36" s="8"/>
      <c r="I36" s="8">
        <f t="shared" si="0"/>
        <v>18038.595374969602</v>
      </c>
      <c r="J36" s="31">
        <f t="shared" si="1"/>
        <v>1202.5730249979736</v>
      </c>
    </row>
    <row r="37" spans="1:12">
      <c r="A37" s="7" t="s">
        <v>276</v>
      </c>
      <c r="B37" s="7" t="s">
        <v>277</v>
      </c>
      <c r="C37" s="7" t="s">
        <v>278</v>
      </c>
      <c r="D37" s="7" t="s">
        <v>279</v>
      </c>
      <c r="E37" s="8">
        <f>'Area 1'!W14</f>
        <v>22639.44825750258</v>
      </c>
      <c r="F37" s="1"/>
      <c r="G37" s="8"/>
      <c r="H37" s="8"/>
      <c r="I37" s="8">
        <f t="shared" si="0"/>
        <v>22639.44825750258</v>
      </c>
      <c r="J37" s="31">
        <f t="shared" si="1"/>
        <v>1509.2965505001719</v>
      </c>
    </row>
    <row r="38" spans="1:12">
      <c r="A38" s="7" t="s">
        <v>283</v>
      </c>
      <c r="B38" s="7" t="s">
        <v>284</v>
      </c>
      <c r="C38" s="7" t="s">
        <v>285</v>
      </c>
      <c r="D38" s="7" t="s">
        <v>286</v>
      </c>
      <c r="E38" s="8">
        <f>'Area 1'!W15</f>
        <v>17850.975638028969</v>
      </c>
      <c r="F38" s="1"/>
      <c r="G38" s="8"/>
      <c r="H38" s="8"/>
      <c r="I38" s="8">
        <f t="shared" si="0"/>
        <v>17850.975638028969</v>
      </c>
      <c r="J38" s="31">
        <f t="shared" si="1"/>
        <v>1190.0650425352646</v>
      </c>
    </row>
    <row r="39" spans="1:12">
      <c r="A39" s="7" t="s">
        <v>290</v>
      </c>
      <c r="B39" s="7" t="s">
        <v>291</v>
      </c>
      <c r="C39" s="7" t="s">
        <v>292</v>
      </c>
      <c r="D39" s="7" t="s">
        <v>293</v>
      </c>
      <c r="E39" s="8">
        <f>'Area 1'!W16</f>
        <v>22043.234426780138</v>
      </c>
      <c r="F39" s="1"/>
      <c r="G39" s="8"/>
      <c r="H39" s="8"/>
      <c r="I39" s="8">
        <f t="shared" si="0"/>
        <v>22043.234426780138</v>
      </c>
      <c r="J39" s="31">
        <f t="shared" si="1"/>
        <v>1469.5489617853425</v>
      </c>
    </row>
    <row r="40" spans="1:12">
      <c r="A40" s="7" t="s">
        <v>294</v>
      </c>
      <c r="B40" s="7" t="s">
        <v>295</v>
      </c>
      <c r="C40" s="7" t="s">
        <v>296</v>
      </c>
      <c r="D40" s="7" t="s">
        <v>297</v>
      </c>
      <c r="E40" s="8">
        <f>'Area 1'!W17</f>
        <v>17448.635535478512</v>
      </c>
      <c r="F40" s="1"/>
      <c r="G40" s="8"/>
      <c r="H40" s="8"/>
      <c r="I40" s="8">
        <f t="shared" si="0"/>
        <v>17448.635535478512</v>
      </c>
      <c r="J40" s="31">
        <f t="shared" si="1"/>
        <v>1163.2423690319008</v>
      </c>
    </row>
    <row r="41" spans="1:12">
      <c r="A41" s="7" t="s">
        <v>444</v>
      </c>
      <c r="B41" s="7" t="s">
        <v>445</v>
      </c>
      <c r="C41" s="7" t="s">
        <v>329</v>
      </c>
      <c r="D41" s="7" t="s">
        <v>330</v>
      </c>
      <c r="E41" s="1"/>
      <c r="F41" s="8">
        <f>'Area 2'!X28</f>
        <v>315.77971689141782</v>
      </c>
      <c r="G41" s="8"/>
      <c r="H41" s="8"/>
      <c r="I41" s="8">
        <f t="shared" si="0"/>
        <v>315.77971689141782</v>
      </c>
      <c r="J41" s="31">
        <f t="shared" si="1"/>
        <v>21.051981126094521</v>
      </c>
    </row>
    <row r="42" spans="1:12">
      <c r="A42" s="7" t="s">
        <v>298</v>
      </c>
      <c r="B42" s="7" t="s">
        <v>299</v>
      </c>
      <c r="C42" s="7" t="s">
        <v>300</v>
      </c>
      <c r="D42" s="7" t="s">
        <v>301</v>
      </c>
      <c r="E42" s="8">
        <f>'Area 1'!W18</f>
        <v>4502.8736865750998</v>
      </c>
      <c r="F42" s="1"/>
      <c r="G42" s="8"/>
      <c r="H42" s="8"/>
      <c r="I42" s="8">
        <f t="shared" si="0"/>
        <v>4502.8736865750998</v>
      </c>
      <c r="J42" s="31">
        <f t="shared" si="1"/>
        <v>300.19157910500667</v>
      </c>
    </row>
    <row r="43" spans="1:12">
      <c r="A43" s="14" t="s">
        <v>659</v>
      </c>
      <c r="B43" s="14" t="s">
        <v>660</v>
      </c>
      <c r="C43" s="14" t="s">
        <v>661</v>
      </c>
      <c r="D43" s="14" t="s">
        <v>662</v>
      </c>
      <c r="E43" s="1"/>
      <c r="F43" s="1"/>
      <c r="G43" s="8"/>
      <c r="H43" s="8">
        <f>'Area 4'!X21</f>
        <v>30702.871857592807</v>
      </c>
      <c r="I43" s="8">
        <f t="shared" si="0"/>
        <v>30702.871857592807</v>
      </c>
      <c r="J43" s="31">
        <f t="shared" si="1"/>
        <v>2046.8581238395204</v>
      </c>
      <c r="L43">
        <v>1</v>
      </c>
    </row>
    <row r="44" spans="1:12">
      <c r="A44" s="7" t="s">
        <v>446</v>
      </c>
      <c r="B44" s="7" t="s">
        <v>447</v>
      </c>
      <c r="C44" s="7" t="s">
        <v>448</v>
      </c>
      <c r="D44" s="7"/>
      <c r="E44" s="1"/>
      <c r="F44" s="8">
        <f>'Area 2'!X29</f>
        <v>10</v>
      </c>
      <c r="G44" s="8">
        <f>'Area 3'!X12</f>
        <v>83.294565111749776</v>
      </c>
      <c r="H44" s="8"/>
      <c r="I44" s="8">
        <f t="shared" si="0"/>
        <v>93.294565111749776</v>
      </c>
      <c r="J44" s="31">
        <f t="shared" si="1"/>
        <v>6.2196376741166519</v>
      </c>
    </row>
    <row r="45" spans="1:12">
      <c r="A45" s="14" t="s">
        <v>663</v>
      </c>
      <c r="B45" s="14" t="s">
        <v>664</v>
      </c>
      <c r="C45" s="14" t="s">
        <v>665</v>
      </c>
      <c r="D45" s="14" t="s">
        <v>666</v>
      </c>
      <c r="E45" s="1"/>
      <c r="F45" s="1"/>
      <c r="G45" s="8"/>
      <c r="H45" s="8">
        <f>'Area 4'!X22</f>
        <v>31649.696947811979</v>
      </c>
      <c r="I45" s="8">
        <f t="shared" si="0"/>
        <v>31649.696947811979</v>
      </c>
      <c r="J45" s="31">
        <f t="shared" si="1"/>
        <v>2109.9797965207986</v>
      </c>
      <c r="L45">
        <v>1</v>
      </c>
    </row>
    <row r="46" spans="1:12">
      <c r="A46" s="7" t="s">
        <v>449</v>
      </c>
      <c r="B46" s="7" t="s">
        <v>450</v>
      </c>
      <c r="C46" s="7" t="s">
        <v>451</v>
      </c>
      <c r="D46" s="7" t="s">
        <v>452</v>
      </c>
      <c r="E46" s="1"/>
      <c r="F46" s="8">
        <f>'Area 2'!X30</f>
        <v>1318.6787352799006</v>
      </c>
      <c r="G46" s="8">
        <f>'Area 3'!X13</f>
        <v>29197.948708787975</v>
      </c>
      <c r="H46" s="8"/>
      <c r="I46" s="8">
        <f t="shared" si="0"/>
        <v>30516.627444067875</v>
      </c>
      <c r="J46" s="31">
        <f t="shared" si="1"/>
        <v>2034.4418296045251</v>
      </c>
      <c r="L46">
        <v>1</v>
      </c>
    </row>
    <row r="47" spans="1:12">
      <c r="A47" s="7" t="s">
        <v>457</v>
      </c>
      <c r="B47" s="7" t="s">
        <v>458</v>
      </c>
      <c r="C47" s="7" t="s">
        <v>459</v>
      </c>
      <c r="D47" s="7" t="s">
        <v>460</v>
      </c>
      <c r="E47" s="1"/>
      <c r="F47" s="8">
        <f>'Area 2'!X31</f>
        <v>60.76860531243782</v>
      </c>
      <c r="G47" s="8">
        <f>'Area 3'!X14</f>
        <v>2691.0551805334544</v>
      </c>
      <c r="H47" s="8"/>
      <c r="I47" s="8">
        <f t="shared" si="0"/>
        <v>2751.8237858458924</v>
      </c>
      <c r="J47" s="31">
        <f t="shared" si="1"/>
        <v>183.45491905639284</v>
      </c>
    </row>
    <row r="48" spans="1:12">
      <c r="A48" s="7" t="s">
        <v>461</v>
      </c>
      <c r="B48" s="7" t="s">
        <v>445</v>
      </c>
      <c r="C48" s="7" t="s">
        <v>462</v>
      </c>
      <c r="D48" s="7"/>
      <c r="E48" s="1"/>
      <c r="F48" s="8">
        <f>'Area 2'!X32</f>
        <v>2121.2583868705965</v>
      </c>
      <c r="G48" s="8">
        <f>'Area 3'!X15</f>
        <v>10437.44973592618</v>
      </c>
      <c r="H48" s="8"/>
      <c r="I48" s="8">
        <f t="shared" si="0"/>
        <v>12558.708122796777</v>
      </c>
      <c r="J48" s="31">
        <f t="shared" si="1"/>
        <v>837.24720818645187</v>
      </c>
    </row>
    <row r="49" spans="1:12">
      <c r="A49" s="7" t="s">
        <v>468</v>
      </c>
      <c r="B49" s="7" t="s">
        <v>469</v>
      </c>
      <c r="C49" s="7" t="s">
        <v>470</v>
      </c>
      <c r="D49" s="7" t="s">
        <v>471</v>
      </c>
      <c r="E49" s="1"/>
      <c r="F49" s="8">
        <f>'Area 2'!X33</f>
        <v>610.86917054550588</v>
      </c>
      <c r="G49" s="8">
        <f>'Area 3'!X16</f>
        <v>27051.511838600578</v>
      </c>
      <c r="H49" s="8"/>
      <c r="I49" s="8">
        <f t="shared" si="0"/>
        <v>27662.381009146084</v>
      </c>
      <c r="J49" s="31">
        <f t="shared" si="1"/>
        <v>1844.1587339430723</v>
      </c>
      <c r="L49">
        <v>1</v>
      </c>
    </row>
    <row r="50" spans="1:12">
      <c r="A50" s="7" t="s">
        <v>475</v>
      </c>
      <c r="B50" s="7" t="s">
        <v>476</v>
      </c>
      <c r="C50" s="7" t="s">
        <v>477</v>
      </c>
      <c r="D50" s="7" t="s">
        <v>478</v>
      </c>
      <c r="E50" s="1"/>
      <c r="F50" s="8">
        <f>'Area 2'!X34</f>
        <v>4443.3425455832503</v>
      </c>
      <c r="G50" s="8">
        <f>'Area 3'!X17</f>
        <v>34980.869669495187</v>
      </c>
      <c r="H50" s="8"/>
      <c r="I50" s="8">
        <f t="shared" si="0"/>
        <v>39424.212215078434</v>
      </c>
      <c r="J50" s="31">
        <f t="shared" si="1"/>
        <v>2628.2808143385623</v>
      </c>
      <c r="L50">
        <v>1</v>
      </c>
    </row>
    <row r="51" spans="1:12">
      <c r="A51" s="14" t="s">
        <v>671</v>
      </c>
      <c r="B51" s="14" t="s">
        <v>672</v>
      </c>
      <c r="C51" s="14" t="s">
        <v>673</v>
      </c>
      <c r="D51" s="14"/>
      <c r="E51" s="1"/>
      <c r="F51" s="1"/>
      <c r="G51" s="8"/>
      <c r="H51" s="8">
        <f>'Area 4'!X23</f>
        <v>21355.961646574731</v>
      </c>
      <c r="I51" s="8">
        <f t="shared" si="0"/>
        <v>21355.961646574731</v>
      </c>
      <c r="J51" s="31">
        <f t="shared" si="1"/>
        <v>1423.7307764383154</v>
      </c>
      <c r="L51">
        <v>1</v>
      </c>
    </row>
    <row r="52" spans="1:12">
      <c r="A52" s="14" t="s">
        <v>676</v>
      </c>
      <c r="B52" s="14" t="s">
        <v>677</v>
      </c>
      <c r="C52" s="14" t="s">
        <v>678</v>
      </c>
      <c r="D52" s="14" t="s">
        <v>679</v>
      </c>
      <c r="E52" s="1"/>
      <c r="F52" s="1"/>
      <c r="G52" s="8"/>
      <c r="H52" s="8">
        <f>'Area 4'!X24</f>
        <v>21319.191740158451</v>
      </c>
      <c r="I52" s="8">
        <f t="shared" si="0"/>
        <v>21319.191740158451</v>
      </c>
      <c r="J52" s="31">
        <f t="shared" si="1"/>
        <v>1421.2794493438967</v>
      </c>
      <c r="L52">
        <v>1</v>
      </c>
    </row>
    <row r="53" spans="1:12">
      <c r="A53" s="7" t="s">
        <v>482</v>
      </c>
      <c r="B53" s="7" t="s">
        <v>445</v>
      </c>
      <c r="C53" s="7" t="s">
        <v>483</v>
      </c>
      <c r="D53" s="7"/>
      <c r="E53" s="1"/>
      <c r="F53" s="8">
        <f>'Area 2'!X35</f>
        <v>1701.1592308594943</v>
      </c>
      <c r="G53" s="8">
        <f>'Area 3'!X18</f>
        <v>13392.626998993475</v>
      </c>
      <c r="H53" s="8"/>
      <c r="I53" s="8">
        <f t="shared" si="0"/>
        <v>15093.786229852969</v>
      </c>
      <c r="J53" s="31">
        <f t="shared" si="1"/>
        <v>1006.2524153235313</v>
      </c>
    </row>
    <row r="54" spans="1:12">
      <c r="A54" s="7" t="s">
        <v>487</v>
      </c>
      <c r="B54" s="7" t="s">
        <v>445</v>
      </c>
      <c r="C54" s="7" t="s">
        <v>462</v>
      </c>
      <c r="D54" s="7"/>
      <c r="E54" s="1"/>
      <c r="F54" s="8">
        <f>'Area 2'!X36</f>
        <v>2445.4299587813516</v>
      </c>
      <c r="G54" s="8">
        <f>'Area 3'!X19</f>
        <v>10313.575767298451</v>
      </c>
      <c r="H54" s="8"/>
      <c r="I54" s="8">
        <f t="shared" si="0"/>
        <v>12759.005726079802</v>
      </c>
      <c r="J54" s="31">
        <f t="shared" si="1"/>
        <v>850.60038173865348</v>
      </c>
    </row>
    <row r="55" spans="1:12">
      <c r="A55" s="7" t="s">
        <v>488</v>
      </c>
      <c r="B55" s="7" t="s">
        <v>489</v>
      </c>
      <c r="C55" s="7" t="s">
        <v>490</v>
      </c>
      <c r="D55" s="7"/>
      <c r="E55" s="1"/>
      <c r="F55" s="8">
        <f>'Area 2'!X37</f>
        <v>2779.295570110995</v>
      </c>
      <c r="G55" s="8">
        <f>'Area 3'!X20</f>
        <v>45584.196616284935</v>
      </c>
      <c r="H55" s="8"/>
      <c r="I55" s="8">
        <f t="shared" si="0"/>
        <v>48363.492186395932</v>
      </c>
      <c r="J55" s="31">
        <f t="shared" si="1"/>
        <v>3224.2328124263954</v>
      </c>
      <c r="L55">
        <v>1</v>
      </c>
    </row>
    <row r="56" spans="1:12">
      <c r="A56" s="7" t="s">
        <v>494</v>
      </c>
      <c r="B56" s="7" t="s">
        <v>218</v>
      </c>
      <c r="C56" s="7" t="s">
        <v>495</v>
      </c>
      <c r="D56" s="7" t="s">
        <v>496</v>
      </c>
      <c r="E56" s="1"/>
      <c r="F56" s="8">
        <f>'Area 2'!X38</f>
        <v>17364.362439058437</v>
      </c>
      <c r="G56" s="8"/>
      <c r="H56" s="8">
        <f>'Area 4'!X25</f>
        <v>98510.256279852532</v>
      </c>
      <c r="I56" s="8">
        <f t="shared" si="0"/>
        <v>115874.61871891096</v>
      </c>
      <c r="J56" s="31">
        <f t="shared" si="1"/>
        <v>7724.9745812607307</v>
      </c>
    </row>
    <row r="57" spans="1:12">
      <c r="A57" s="7" t="s">
        <v>502</v>
      </c>
      <c r="B57" s="7" t="s">
        <v>503</v>
      </c>
      <c r="C57" s="7" t="s">
        <v>504</v>
      </c>
      <c r="D57" s="7" t="s">
        <v>505</v>
      </c>
      <c r="E57" s="1"/>
      <c r="F57" s="8">
        <f>'Area 2'!X39</f>
        <v>2762.5118600723217</v>
      </c>
      <c r="G57" s="8">
        <f>'Area 3'!X21</f>
        <v>61167.043526101486</v>
      </c>
      <c r="H57" s="8"/>
      <c r="I57" s="8">
        <f t="shared" si="0"/>
        <v>63929.555386173808</v>
      </c>
      <c r="J57" s="31">
        <f t="shared" si="1"/>
        <v>4261.9703590782538</v>
      </c>
      <c r="L57">
        <v>1</v>
      </c>
    </row>
    <row r="58" spans="1:12">
      <c r="A58" s="7" t="s">
        <v>508</v>
      </c>
      <c r="B58" s="7" t="s">
        <v>509</v>
      </c>
      <c r="C58" s="7" t="s">
        <v>510</v>
      </c>
      <c r="D58" s="7" t="s">
        <v>511</v>
      </c>
      <c r="E58" s="1"/>
      <c r="F58" s="8">
        <f>'Area 2'!X40</f>
        <v>1513.427646590713</v>
      </c>
      <c r="G58" s="8">
        <f>'Area 3'!X22</f>
        <v>37233.382524312074</v>
      </c>
      <c r="H58" s="8"/>
      <c r="I58" s="8">
        <f t="shared" si="0"/>
        <v>38746.810170902783</v>
      </c>
      <c r="J58" s="31">
        <f t="shared" si="1"/>
        <v>2583.1206780601856</v>
      </c>
      <c r="L58">
        <v>1</v>
      </c>
    </row>
    <row r="59" spans="1:12">
      <c r="A59" s="7" t="s">
        <v>512</v>
      </c>
      <c r="B59" s="7" t="s">
        <v>513</v>
      </c>
      <c r="C59" s="7" t="s">
        <v>514</v>
      </c>
      <c r="D59" s="7" t="s">
        <v>515</v>
      </c>
      <c r="E59" s="1"/>
      <c r="F59" s="8">
        <f>'Area 2'!X41</f>
        <v>4486.3869743462265</v>
      </c>
      <c r="G59" s="8">
        <f>'Area 3'!X23</f>
        <v>33619.679853310015</v>
      </c>
      <c r="H59" s="8"/>
      <c r="I59" s="8">
        <f t="shared" si="0"/>
        <v>38106.066827656243</v>
      </c>
      <c r="J59" s="31">
        <f t="shared" si="1"/>
        <v>2540.404455177083</v>
      </c>
      <c r="L59">
        <v>1</v>
      </c>
    </row>
    <row r="60" spans="1:12">
      <c r="A60" s="7" t="s">
        <v>516</v>
      </c>
      <c r="B60" s="7" t="s">
        <v>517</v>
      </c>
      <c r="C60" s="7" t="s">
        <v>518</v>
      </c>
      <c r="D60" s="7"/>
      <c r="E60" s="1"/>
      <c r="F60" s="8">
        <f>'Area 2'!X42</f>
        <v>4502.9536536516416</v>
      </c>
      <c r="G60" s="8">
        <f>'Area 3'!X24</f>
        <v>18805.34989253735</v>
      </c>
      <c r="H60" s="8"/>
      <c r="I60" s="8">
        <f t="shared" si="0"/>
        <v>23308.303546188992</v>
      </c>
      <c r="J60" s="31">
        <f t="shared" si="1"/>
        <v>1553.8869030792662</v>
      </c>
      <c r="L60">
        <v>1</v>
      </c>
    </row>
    <row r="61" spans="1:12">
      <c r="A61" s="7" t="s">
        <v>519</v>
      </c>
      <c r="B61" s="7" t="s">
        <v>520</v>
      </c>
      <c r="C61" s="7" t="s">
        <v>521</v>
      </c>
      <c r="D61" s="7"/>
      <c r="E61" s="1"/>
      <c r="F61" s="8">
        <f>'Area 2'!X43</f>
        <v>5329.8407473673124</v>
      </c>
      <c r="G61" s="8">
        <f>'Area 3'!X25</f>
        <v>25285.239906615523</v>
      </c>
      <c r="H61" s="8"/>
      <c r="I61" s="8">
        <f t="shared" si="0"/>
        <v>30615.080653982834</v>
      </c>
      <c r="J61" s="31">
        <f t="shared" si="1"/>
        <v>2041.0053769321889</v>
      </c>
      <c r="L61">
        <v>1</v>
      </c>
    </row>
    <row r="62" spans="1:12">
      <c r="A62" s="7" t="s">
        <v>522</v>
      </c>
      <c r="B62" s="7" t="s">
        <v>523</v>
      </c>
      <c r="C62" s="7" t="s">
        <v>524</v>
      </c>
      <c r="D62" s="7" t="s">
        <v>525</v>
      </c>
      <c r="E62" s="1"/>
      <c r="F62" s="8">
        <f>'Area 2'!X44</f>
        <v>3869.6579740027364</v>
      </c>
      <c r="G62" s="8">
        <f>'Area 3'!X26</f>
        <v>24999.760243283803</v>
      </c>
      <c r="H62" s="8"/>
      <c r="I62" s="8">
        <f t="shared" si="0"/>
        <v>28869.41821728654</v>
      </c>
      <c r="J62" s="31">
        <f t="shared" si="1"/>
        <v>1924.627881152436</v>
      </c>
      <c r="L62">
        <v>1</v>
      </c>
    </row>
    <row r="63" spans="1:12">
      <c r="A63" s="7" t="s">
        <v>526</v>
      </c>
      <c r="B63" s="7" t="s">
        <v>527</v>
      </c>
      <c r="C63" s="7" t="s">
        <v>528</v>
      </c>
      <c r="D63" s="7" t="s">
        <v>529</v>
      </c>
      <c r="E63" s="1"/>
      <c r="F63" s="8">
        <f>'Area 2'!X45</f>
        <v>6269.2944480665001</v>
      </c>
      <c r="G63" s="8">
        <f>'Area 3'!X27</f>
        <v>17627.123351854054</v>
      </c>
      <c r="H63" s="8"/>
      <c r="I63" s="8">
        <f t="shared" si="0"/>
        <v>23896.417799920553</v>
      </c>
      <c r="J63" s="31">
        <f t="shared" si="1"/>
        <v>1593.0945199947034</v>
      </c>
      <c r="L63">
        <v>1</v>
      </c>
    </row>
    <row r="64" spans="1:12">
      <c r="A64" s="7" t="s">
        <v>534</v>
      </c>
      <c r="B64" s="7" t="s">
        <v>535</v>
      </c>
      <c r="C64" s="7" t="s">
        <v>536</v>
      </c>
      <c r="D64" s="7" t="s">
        <v>537</v>
      </c>
      <c r="E64" s="1"/>
      <c r="F64" s="8">
        <f>'Area 2'!X46</f>
        <v>12703.608404544097</v>
      </c>
      <c r="G64" s="8">
        <f>'Area 3'!X28</f>
        <v>3043.4552636985486</v>
      </c>
      <c r="H64" s="8">
        <f>'Area 4'!X26</f>
        <v>1091.2235768747739</v>
      </c>
      <c r="I64" s="8">
        <f t="shared" si="0"/>
        <v>16838.287245117419</v>
      </c>
      <c r="J64" s="31">
        <f t="shared" si="1"/>
        <v>1122.552483007828</v>
      </c>
      <c r="L64">
        <v>1</v>
      </c>
    </row>
    <row r="65" spans="1:12">
      <c r="A65" s="7" t="s">
        <v>540</v>
      </c>
      <c r="B65" s="7" t="s">
        <v>541</v>
      </c>
      <c r="C65" s="7" t="s">
        <v>542</v>
      </c>
      <c r="D65" s="7" t="s">
        <v>543</v>
      </c>
      <c r="E65" s="1"/>
      <c r="F65" s="8">
        <f>'Area 2'!X47</f>
        <v>4466.1307725754141</v>
      </c>
      <c r="G65" s="8">
        <f>'Area 3'!X29</f>
        <v>43950.341685246771</v>
      </c>
      <c r="H65" s="8"/>
      <c r="I65" s="8">
        <f t="shared" si="0"/>
        <v>48416.472457822187</v>
      </c>
      <c r="J65" s="31">
        <f t="shared" si="1"/>
        <v>3227.7648305214793</v>
      </c>
      <c r="L65">
        <v>1</v>
      </c>
    </row>
    <row r="66" spans="1:12">
      <c r="A66" s="7" t="s">
        <v>303</v>
      </c>
      <c r="B66" s="7" t="s">
        <v>304</v>
      </c>
      <c r="C66" s="7" t="s">
        <v>305</v>
      </c>
      <c r="D66" s="7" t="s">
        <v>306</v>
      </c>
      <c r="E66" s="8">
        <f>'Area 1'!W19</f>
        <v>0</v>
      </c>
      <c r="F66" s="1"/>
      <c r="G66" s="8"/>
      <c r="H66" s="8"/>
      <c r="I66" s="8">
        <f t="shared" si="0"/>
        <v>0</v>
      </c>
      <c r="J66" s="31">
        <f t="shared" si="1"/>
        <v>0</v>
      </c>
    </row>
    <row r="67" spans="1:12">
      <c r="A67" s="7" t="s">
        <v>546</v>
      </c>
      <c r="B67" s="7" t="s">
        <v>547</v>
      </c>
      <c r="C67" s="7" t="s">
        <v>548</v>
      </c>
      <c r="D67" s="7" t="s">
        <v>549</v>
      </c>
      <c r="E67" s="1"/>
      <c r="F67" s="8">
        <f>'Area 2'!X48</f>
        <v>4490.2211839671318</v>
      </c>
      <c r="G67" s="8">
        <f>'Area 3'!X30</f>
        <v>108859.58932681757</v>
      </c>
      <c r="H67" s="8">
        <f>'Area 4'!X27</f>
        <v>1983.7364511582416</v>
      </c>
      <c r="I67" s="8">
        <f t="shared" ref="I67:I93" si="2">SUM(E67:H67)</f>
        <v>115333.54696194295</v>
      </c>
      <c r="J67" s="31">
        <f t="shared" ref="J67:J95" si="3">I67/15</f>
        <v>7688.9031307961968</v>
      </c>
      <c r="L67">
        <v>1</v>
      </c>
    </row>
    <row r="68" spans="1:12">
      <c r="A68" s="7" t="s">
        <v>550</v>
      </c>
      <c r="B68" s="7" t="s">
        <v>445</v>
      </c>
      <c r="C68" s="7" t="s">
        <v>232</v>
      </c>
      <c r="D68" s="7" t="s">
        <v>233</v>
      </c>
      <c r="E68" s="1"/>
      <c r="F68" s="8">
        <f>'Area 2'!X49</f>
        <v>2850.6263377753571</v>
      </c>
      <c r="G68" s="8">
        <f>'Area 3'!X31</f>
        <v>70131.176146653597</v>
      </c>
      <c r="H68" s="8">
        <f>'Area 4'!X28</f>
        <v>2648.0460937456783</v>
      </c>
      <c r="I68" s="8">
        <f t="shared" si="2"/>
        <v>75629.848578174642</v>
      </c>
      <c r="J68" s="31">
        <f t="shared" si="3"/>
        <v>5041.9899052116425</v>
      </c>
    </row>
    <row r="69" spans="1:12">
      <c r="A69" s="7" t="s">
        <v>552</v>
      </c>
      <c r="B69" s="7" t="s">
        <v>553</v>
      </c>
      <c r="C69" s="7" t="s">
        <v>554</v>
      </c>
      <c r="D69" s="7" t="s">
        <v>555</v>
      </c>
      <c r="E69" s="1"/>
      <c r="F69" s="8">
        <f>'Area 2'!X50</f>
        <v>14693.075830532522</v>
      </c>
      <c r="G69" s="8">
        <f>'Area 3'!X32</f>
        <v>7500.7823762170565</v>
      </c>
      <c r="H69" s="8">
        <f>'Area 4'!X29</f>
        <v>2901.988259933104</v>
      </c>
      <c r="I69" s="8">
        <f t="shared" si="2"/>
        <v>25095.84646668268</v>
      </c>
      <c r="J69" s="31">
        <f t="shared" si="3"/>
        <v>1673.0564311121786</v>
      </c>
      <c r="L69">
        <v>1</v>
      </c>
    </row>
    <row r="70" spans="1:12">
      <c r="A70" s="14" t="s">
        <v>684</v>
      </c>
      <c r="B70" s="14" t="s">
        <v>685</v>
      </c>
      <c r="C70" s="14" t="s">
        <v>686</v>
      </c>
      <c r="D70" s="14" t="s">
        <v>687</v>
      </c>
      <c r="E70" s="1"/>
      <c r="F70" s="1"/>
      <c r="G70" s="8"/>
      <c r="H70" s="8">
        <f>'Area 4'!X30</f>
        <v>33930.043977394867</v>
      </c>
      <c r="I70" s="8">
        <f t="shared" si="2"/>
        <v>33930.043977394867</v>
      </c>
      <c r="J70" s="31">
        <f t="shared" si="3"/>
        <v>2262.0029318263246</v>
      </c>
      <c r="L70">
        <v>1</v>
      </c>
    </row>
    <row r="71" spans="1:12">
      <c r="A71" s="14" t="s">
        <v>691</v>
      </c>
      <c r="B71" s="14" t="s">
        <v>692</v>
      </c>
      <c r="C71" s="14" t="s">
        <v>693</v>
      </c>
      <c r="D71" s="14" t="s">
        <v>694</v>
      </c>
      <c r="E71" s="1"/>
      <c r="F71" s="1"/>
      <c r="G71" s="8"/>
      <c r="H71" s="8">
        <f>'Area 4'!X31</f>
        <v>37983.221403249969</v>
      </c>
      <c r="I71" s="8">
        <f t="shared" si="2"/>
        <v>37983.221403249969</v>
      </c>
      <c r="J71" s="31">
        <f t="shared" si="3"/>
        <v>2532.2147602166647</v>
      </c>
      <c r="L71">
        <v>1</v>
      </c>
    </row>
    <row r="72" spans="1:12">
      <c r="A72" s="7" t="s">
        <v>560</v>
      </c>
      <c r="B72" s="7" t="s">
        <v>561</v>
      </c>
      <c r="C72" s="7" t="s">
        <v>528</v>
      </c>
      <c r="D72" s="7" t="s">
        <v>529</v>
      </c>
      <c r="E72" s="1"/>
      <c r="F72" s="8">
        <f>'Area 2'!X51</f>
        <v>2825.4507727173459</v>
      </c>
      <c r="G72" s="8">
        <f>'Area 3'!X33</f>
        <v>6951.1806303514932</v>
      </c>
      <c r="H72" s="8"/>
      <c r="I72" s="8">
        <f t="shared" si="2"/>
        <v>9776.6314030688391</v>
      </c>
      <c r="J72" s="31">
        <f t="shared" si="3"/>
        <v>651.77542687125595</v>
      </c>
    </row>
    <row r="73" spans="1:12">
      <c r="A73" s="7" t="s">
        <v>562</v>
      </c>
      <c r="B73" s="7" t="s">
        <v>563</v>
      </c>
      <c r="C73" s="7" t="s">
        <v>564</v>
      </c>
      <c r="D73" s="7" t="s">
        <v>565</v>
      </c>
      <c r="E73" s="1"/>
      <c r="F73" s="8">
        <f>'Area 2'!X52</f>
        <v>7178.7979075759868</v>
      </c>
      <c r="G73" s="8">
        <f>'Area 3'!X34</f>
        <v>8830.647740565335</v>
      </c>
      <c r="H73" s="8"/>
      <c r="I73" s="8">
        <f t="shared" si="2"/>
        <v>16009.445648141322</v>
      </c>
      <c r="J73" s="31">
        <f t="shared" si="3"/>
        <v>1067.2963765427548</v>
      </c>
    </row>
    <row r="74" spans="1:12">
      <c r="A74" s="7" t="s">
        <v>568</v>
      </c>
      <c r="B74" s="7" t="s">
        <v>569</v>
      </c>
      <c r="C74" s="7" t="s">
        <v>570</v>
      </c>
      <c r="D74" s="7" t="s">
        <v>571</v>
      </c>
      <c r="E74" s="1"/>
      <c r="F74" s="8">
        <f>'Area 2'!X53</f>
        <v>6334.1142937331006</v>
      </c>
      <c r="G74" s="8">
        <f>'Area 3'!X35</f>
        <v>8014.2186185982009</v>
      </c>
      <c r="H74" s="8"/>
      <c r="I74" s="8">
        <f t="shared" si="2"/>
        <v>14348.332912331301</v>
      </c>
      <c r="J74" s="31">
        <f t="shared" si="3"/>
        <v>956.55552748875346</v>
      </c>
    </row>
    <row r="75" spans="1:12">
      <c r="A75" s="7" t="s">
        <v>576</v>
      </c>
      <c r="B75" s="7" t="s">
        <v>577</v>
      </c>
      <c r="C75" s="7" t="s">
        <v>578</v>
      </c>
      <c r="D75" s="7" t="s">
        <v>579</v>
      </c>
      <c r="E75" s="1"/>
      <c r="F75" s="8">
        <f>'Area 2'!X54</f>
        <v>7171.2741754896861</v>
      </c>
      <c r="G75" s="8">
        <f>'Area 3'!X36</f>
        <v>5453.2311051238639</v>
      </c>
      <c r="H75" s="8"/>
      <c r="I75" s="8">
        <f t="shared" si="2"/>
        <v>12624.50528061355</v>
      </c>
      <c r="J75" s="31">
        <f t="shared" si="3"/>
        <v>841.63368537423662</v>
      </c>
    </row>
    <row r="76" spans="1:12">
      <c r="A76" s="7" t="s">
        <v>584</v>
      </c>
      <c r="B76" s="7" t="s">
        <v>585</v>
      </c>
      <c r="C76" s="7" t="s">
        <v>586</v>
      </c>
      <c r="D76" s="7"/>
      <c r="E76" s="1"/>
      <c r="F76" s="8">
        <f>'Area 2'!X55</f>
        <v>7012.9140837885825</v>
      </c>
      <c r="G76" s="8">
        <f>'Area 3'!X37</f>
        <v>5949.5100909307075</v>
      </c>
      <c r="H76" s="8"/>
      <c r="I76" s="8">
        <f t="shared" si="2"/>
        <v>12962.42417471929</v>
      </c>
      <c r="J76" s="31">
        <f t="shared" si="3"/>
        <v>864.16161164795267</v>
      </c>
    </row>
    <row r="77" spans="1:12">
      <c r="A77" s="7" t="s">
        <v>592</v>
      </c>
      <c r="B77" s="7" t="s">
        <v>218</v>
      </c>
      <c r="C77" s="7" t="s">
        <v>495</v>
      </c>
      <c r="D77" s="7" t="s">
        <v>496</v>
      </c>
      <c r="E77" s="1"/>
      <c r="F77" s="8">
        <f>'Area 2'!X56</f>
        <v>0</v>
      </c>
      <c r="G77" s="8"/>
      <c r="H77" s="8">
        <f>'Area 4'!X32</f>
        <v>33309.398598676766</v>
      </c>
      <c r="I77" s="8">
        <f t="shared" si="2"/>
        <v>33309.398598676766</v>
      </c>
      <c r="J77" s="31">
        <f t="shared" si="3"/>
        <v>2220.6265732451179</v>
      </c>
    </row>
    <row r="78" spans="1:12">
      <c r="A78" s="14" t="s">
        <v>695</v>
      </c>
      <c r="B78" s="14" t="s">
        <v>696</v>
      </c>
      <c r="C78" s="14" t="s">
        <v>697</v>
      </c>
      <c r="D78" s="14" t="s">
        <v>698</v>
      </c>
      <c r="E78" s="1"/>
      <c r="F78" s="1"/>
      <c r="G78" s="8"/>
      <c r="H78" s="8">
        <f>'Area 4'!X33</f>
        <v>72542.275913072648</v>
      </c>
      <c r="I78" s="8">
        <f t="shared" si="2"/>
        <v>72542.275913072648</v>
      </c>
      <c r="J78" s="31">
        <f t="shared" si="3"/>
        <v>4836.1517275381766</v>
      </c>
      <c r="L78">
        <v>1</v>
      </c>
    </row>
    <row r="79" spans="1:12">
      <c r="A79" s="14" t="s">
        <v>703</v>
      </c>
      <c r="B79" s="14" t="s">
        <v>704</v>
      </c>
      <c r="C79" s="14" t="s">
        <v>705</v>
      </c>
      <c r="D79" s="14"/>
      <c r="E79" s="1"/>
      <c r="F79" s="1"/>
      <c r="G79" s="8"/>
      <c r="H79" s="8">
        <f>'Area 4'!X34</f>
        <v>87872.415937736281</v>
      </c>
      <c r="I79" s="8">
        <f t="shared" si="2"/>
        <v>87872.415937736281</v>
      </c>
      <c r="J79" s="31">
        <f t="shared" si="3"/>
        <v>5858.1610625157518</v>
      </c>
      <c r="L79">
        <v>1</v>
      </c>
    </row>
    <row r="80" spans="1:12">
      <c r="A80" s="14" t="s">
        <v>710</v>
      </c>
      <c r="B80" s="14" t="s">
        <v>711</v>
      </c>
      <c r="C80" s="14" t="s">
        <v>712</v>
      </c>
      <c r="D80" s="14" t="s">
        <v>713</v>
      </c>
      <c r="E80" s="1"/>
      <c r="F80" s="1"/>
      <c r="G80" s="8"/>
      <c r="H80" s="8">
        <f>'Area 4'!X35</f>
        <v>97172.1381021868</v>
      </c>
      <c r="I80" s="8">
        <f t="shared" si="2"/>
        <v>97172.1381021868</v>
      </c>
      <c r="J80" s="31">
        <f t="shared" si="3"/>
        <v>6478.1425401457864</v>
      </c>
      <c r="L80">
        <v>1</v>
      </c>
    </row>
    <row r="81" spans="1:12">
      <c r="A81" s="14" t="s">
        <v>714</v>
      </c>
      <c r="B81" s="14" t="s">
        <v>715</v>
      </c>
      <c r="C81" s="14" t="s">
        <v>716</v>
      </c>
      <c r="D81" s="14"/>
      <c r="E81" s="1"/>
      <c r="F81" s="1"/>
      <c r="G81" s="8"/>
      <c r="H81" s="8">
        <f>'Area 4'!X36</f>
        <v>93417.624241197918</v>
      </c>
      <c r="I81" s="8">
        <f t="shared" si="2"/>
        <v>93417.624241197918</v>
      </c>
      <c r="J81" s="31">
        <f t="shared" si="3"/>
        <v>6227.8416160798615</v>
      </c>
      <c r="L81">
        <v>1</v>
      </c>
    </row>
    <row r="82" spans="1:12">
      <c r="A82" s="14" t="s">
        <v>717</v>
      </c>
      <c r="B82" s="14" t="s">
        <v>718</v>
      </c>
      <c r="C82" s="14" t="s">
        <v>719</v>
      </c>
      <c r="D82" s="14" t="s">
        <v>720</v>
      </c>
      <c r="E82" s="1"/>
      <c r="F82" s="1"/>
      <c r="G82" s="8"/>
      <c r="H82" s="8">
        <f>'Area 4'!X37</f>
        <v>90131.313855243003</v>
      </c>
      <c r="I82" s="8">
        <f t="shared" si="2"/>
        <v>90131.313855243003</v>
      </c>
      <c r="J82" s="31">
        <f t="shared" si="3"/>
        <v>6008.7542570162004</v>
      </c>
      <c r="L82">
        <v>1</v>
      </c>
    </row>
    <row r="83" spans="1:12">
      <c r="A83" s="14" t="s">
        <v>721</v>
      </c>
      <c r="B83" s="14" t="s">
        <v>722</v>
      </c>
      <c r="C83" s="14" t="s">
        <v>723</v>
      </c>
      <c r="D83" s="14"/>
      <c r="E83" s="1"/>
      <c r="F83" s="1"/>
      <c r="G83" s="8"/>
      <c r="H83" s="8">
        <f>'Area 4'!X38</f>
        <v>83976.491144988147</v>
      </c>
      <c r="I83" s="8">
        <f t="shared" si="2"/>
        <v>83976.491144988147</v>
      </c>
      <c r="J83" s="31">
        <f t="shared" si="3"/>
        <v>5598.4327429992099</v>
      </c>
      <c r="L83">
        <v>1</v>
      </c>
    </row>
    <row r="84" spans="1:12">
      <c r="A84" s="14" t="s">
        <v>724</v>
      </c>
      <c r="B84" s="14" t="s">
        <v>218</v>
      </c>
      <c r="C84" s="14" t="s">
        <v>725</v>
      </c>
      <c r="D84" s="14" t="s">
        <v>698</v>
      </c>
      <c r="E84" s="1"/>
      <c r="F84" s="1"/>
      <c r="G84" s="8"/>
      <c r="H84" s="8">
        <f>'Area 4'!X39</f>
        <v>25894.287346003945</v>
      </c>
      <c r="I84" s="8">
        <f t="shared" si="2"/>
        <v>25894.287346003945</v>
      </c>
      <c r="J84" s="31">
        <f t="shared" si="3"/>
        <v>1726.2858230669297</v>
      </c>
    </row>
    <row r="85" spans="1:12">
      <c r="A85" s="7" t="s">
        <v>594</v>
      </c>
      <c r="B85" s="7" t="s">
        <v>595</v>
      </c>
      <c r="C85" s="7" t="s">
        <v>596</v>
      </c>
      <c r="D85" s="7" t="s">
        <v>597</v>
      </c>
      <c r="E85" s="1"/>
      <c r="F85" s="8">
        <f>'Area 2'!X57</f>
        <v>10</v>
      </c>
      <c r="G85" s="8"/>
      <c r="H85" s="8"/>
      <c r="I85" s="8">
        <f t="shared" si="2"/>
        <v>10</v>
      </c>
      <c r="J85" s="31">
        <f t="shared" si="3"/>
        <v>0.66666666666666663</v>
      </c>
    </row>
    <row r="86" spans="1:12">
      <c r="A86" s="7" t="s">
        <v>598</v>
      </c>
      <c r="B86" s="7" t="s">
        <v>599</v>
      </c>
      <c r="C86" s="7" t="s">
        <v>462</v>
      </c>
      <c r="D86" s="7"/>
      <c r="E86" s="1"/>
      <c r="F86" s="8">
        <f>'Area 2'!X58</f>
        <v>5930.7265041829178</v>
      </c>
      <c r="G86" s="8">
        <f>'Area 3'!X38</f>
        <v>27669.173075275401</v>
      </c>
      <c r="H86" s="8"/>
      <c r="I86" s="8">
        <f t="shared" si="2"/>
        <v>33599.899579458317</v>
      </c>
      <c r="J86" s="31">
        <f t="shared" si="3"/>
        <v>2239.993305297221</v>
      </c>
    </row>
    <row r="87" spans="1:12">
      <c r="A87" s="7" t="s">
        <v>600</v>
      </c>
      <c r="B87" s="7" t="s">
        <v>601</v>
      </c>
      <c r="C87" s="7" t="s">
        <v>602</v>
      </c>
      <c r="D87" s="7" t="s">
        <v>603</v>
      </c>
      <c r="E87" s="1"/>
      <c r="F87" s="8">
        <f>'Area 2'!X59</f>
        <v>2894.611233049121</v>
      </c>
      <c r="G87" s="8">
        <f>'Area 3'!X39</f>
        <v>35606.6467868732</v>
      </c>
      <c r="H87" s="8"/>
      <c r="I87" s="8">
        <f t="shared" si="2"/>
        <v>38501.258019922323</v>
      </c>
      <c r="J87" s="31">
        <f t="shared" si="3"/>
        <v>2566.750534661488</v>
      </c>
      <c r="L87">
        <v>1</v>
      </c>
    </row>
    <row r="88" spans="1:12">
      <c r="A88" s="7" t="s">
        <v>604</v>
      </c>
      <c r="B88" s="7" t="s">
        <v>605</v>
      </c>
      <c r="C88" s="7" t="s">
        <v>606</v>
      </c>
      <c r="D88" s="7" t="s">
        <v>607</v>
      </c>
      <c r="E88" s="1"/>
      <c r="F88" s="8">
        <f>'Area 2'!X60</f>
        <v>7223.5062386272793</v>
      </c>
      <c r="G88" s="8">
        <f>'Area 3'!X40</f>
        <v>7108.5148088959095</v>
      </c>
      <c r="H88" s="8"/>
      <c r="I88" s="8">
        <f t="shared" si="2"/>
        <v>14332.021047523189</v>
      </c>
      <c r="J88" s="31">
        <f t="shared" si="3"/>
        <v>955.4680698348792</v>
      </c>
      <c r="L88">
        <v>1</v>
      </c>
    </row>
    <row r="89" spans="1:12">
      <c r="A89" s="7" t="s">
        <v>608</v>
      </c>
      <c r="B89" s="7" t="s">
        <v>609</v>
      </c>
      <c r="C89" s="7" t="s">
        <v>610</v>
      </c>
      <c r="D89" s="7"/>
      <c r="E89" s="1"/>
      <c r="F89" s="8">
        <f>'Area 2'!X61</f>
        <v>7682.8308440073506</v>
      </c>
      <c r="G89" s="8"/>
      <c r="H89" s="8"/>
      <c r="I89" s="8">
        <f t="shared" si="2"/>
        <v>7682.8308440073506</v>
      </c>
      <c r="J89" s="31">
        <f t="shared" si="3"/>
        <v>512.18872293382333</v>
      </c>
      <c r="L89">
        <v>1</v>
      </c>
    </row>
    <row r="90" spans="1:12">
      <c r="A90" s="7" t="s">
        <v>614</v>
      </c>
      <c r="B90" s="7" t="s">
        <v>615</v>
      </c>
      <c r="C90" s="7" t="s">
        <v>616</v>
      </c>
      <c r="D90" s="7"/>
      <c r="E90" s="1"/>
      <c r="F90" s="8">
        <f>'Area 2'!X62</f>
        <v>8790.4681327551407</v>
      </c>
      <c r="G90" s="8"/>
      <c r="H90" s="8"/>
      <c r="I90" s="8">
        <f t="shared" si="2"/>
        <v>8790.4681327551407</v>
      </c>
      <c r="J90" s="31">
        <f t="shared" si="3"/>
        <v>586.03120885034275</v>
      </c>
      <c r="L90">
        <v>1</v>
      </c>
    </row>
    <row r="91" spans="1:12">
      <c r="A91" s="14" t="s">
        <v>727</v>
      </c>
      <c r="B91" s="14" t="s">
        <v>728</v>
      </c>
      <c r="C91" s="14" t="s">
        <v>729</v>
      </c>
      <c r="D91" s="14"/>
      <c r="E91" s="1"/>
      <c r="F91" s="1"/>
      <c r="G91" s="8"/>
      <c r="H91" s="8">
        <f>'Area 4'!X40</f>
        <v>14017.607573545887</v>
      </c>
      <c r="I91" s="8">
        <f t="shared" si="2"/>
        <v>14017.607573545887</v>
      </c>
      <c r="J91" s="31">
        <f t="shared" si="3"/>
        <v>934.50717156972576</v>
      </c>
    </row>
    <row r="92" spans="1:12">
      <c r="A92" s="14" t="s">
        <v>732</v>
      </c>
      <c r="B92" s="14" t="s">
        <v>733</v>
      </c>
      <c r="C92" s="14" t="s">
        <v>734</v>
      </c>
      <c r="D92" s="14"/>
      <c r="E92" s="1"/>
      <c r="F92" s="1"/>
      <c r="G92" s="8"/>
      <c r="H92" s="8">
        <f>'Area 4'!X41</f>
        <v>37624.163267094998</v>
      </c>
      <c r="I92" s="8">
        <f t="shared" si="2"/>
        <v>37624.163267094998</v>
      </c>
      <c r="J92" s="31">
        <f t="shared" si="3"/>
        <v>2508.2775511396667</v>
      </c>
      <c r="L92">
        <v>1</v>
      </c>
    </row>
    <row r="93" spans="1:12">
      <c r="A93" s="9" t="s">
        <v>630</v>
      </c>
      <c r="B93" s="12" t="s">
        <v>631</v>
      </c>
      <c r="C93" s="12" t="s">
        <v>632</v>
      </c>
      <c r="D93" s="9"/>
      <c r="E93" s="1"/>
      <c r="F93" s="1"/>
      <c r="G93" s="8"/>
      <c r="H93" s="8">
        <f>'Area 4'!X3</f>
        <v>930616.86834053043</v>
      </c>
      <c r="I93" s="8">
        <f t="shared" si="2"/>
        <v>930616.86834053043</v>
      </c>
      <c r="J93" s="31">
        <f t="shared" si="3"/>
        <v>62041.124556035364</v>
      </c>
    </row>
    <row r="94" spans="1:12">
      <c r="A94" s="9" t="s">
        <v>318</v>
      </c>
      <c r="B94" s="12" t="s">
        <v>620</v>
      </c>
      <c r="C94" s="12" t="s">
        <v>320</v>
      </c>
      <c r="D94" s="9"/>
      <c r="E94" s="1"/>
      <c r="F94" s="8">
        <f>'Area 2'!X3+'Area 2'!X4</f>
        <v>105020.66419949908</v>
      </c>
      <c r="G94" s="8">
        <f>'Area 3'!X3</f>
        <v>396076.02923701447</v>
      </c>
      <c r="H94" s="8"/>
      <c r="I94" s="8">
        <f>SUM(E94:H94)</f>
        <v>501096.69343651354</v>
      </c>
      <c r="J94" s="31">
        <f t="shared" si="3"/>
        <v>33406.446229100904</v>
      </c>
    </row>
    <row r="95" spans="1:12">
      <c r="H95" s="50" t="s">
        <v>171</v>
      </c>
      <c r="I95" s="31">
        <f>SUM(I2:I94)</f>
        <v>3927392.404292543</v>
      </c>
      <c r="J95" s="31">
        <f t="shared" si="3"/>
        <v>261826.16028616953</v>
      </c>
    </row>
    <row r="96" spans="1:12" ht="21.6">
      <c r="C96" s="52"/>
    </row>
    <row r="97" spans="12:12">
      <c r="L97">
        <f>SUM(L2:L95)</f>
        <v>52</v>
      </c>
    </row>
  </sheetData>
  <sortState xmlns:xlrd2="http://schemas.microsoft.com/office/spreadsheetml/2017/richdata2" ref="A2:J94">
    <sortCondition ref="A1:A94"/>
  </sortState>
  <pageMargins left="0.7" right="0.7" top="0.75" bottom="0.75" header="0.3" footer="0.3"/>
  <pageSetup scale="51" fitToHeight="0" orientation="landscape" r:id="rId1"/>
  <headerFooter>
    <oddHeader>&amp;L&amp;"Poppins Medium,Regular"&amp;16Parcel Assessment Summary&amp;R&amp;"Poppins Light,Regular"*The assessment values for Area 2 and 3 are pending as of April 28, 2026.
The values shown below are an estimate.</oddHeader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1E5B-9A97-40B7-B67E-B5651E3994F4}">
  <sheetPr>
    <pageSetUpPr fitToPage="1"/>
  </sheetPr>
  <dimension ref="A1:J97"/>
  <sheetViews>
    <sheetView tabSelected="1" topLeftCell="A14" zoomScaleNormal="100" workbookViewId="0">
      <selection activeCell="B97" sqref="B97"/>
    </sheetView>
  </sheetViews>
  <sheetFormatPr defaultRowHeight="14.45"/>
  <cols>
    <col min="1" max="1" width="10.7109375" bestFit="1" customWidth="1"/>
    <col min="2" max="2" width="31.7109375" bestFit="1" customWidth="1"/>
    <col min="3" max="3" width="32.140625" bestFit="1" customWidth="1"/>
    <col min="4" max="4" width="26.5703125" bestFit="1" customWidth="1"/>
    <col min="5" max="5" width="12" customWidth="1"/>
    <col min="6" max="6" width="12.7109375" customWidth="1"/>
    <col min="7" max="7" width="12.7109375" style="4" customWidth="1"/>
    <col min="8" max="8" width="12.28515625" style="4" bestFit="1" customWidth="1"/>
    <col min="9" max="9" width="13.85546875" customWidth="1"/>
    <col min="10" max="10" width="18.28515625" bestFit="1" customWidth="1"/>
  </cols>
  <sheetData>
    <row r="1" spans="1:10" ht="32.450000000000003" customHeight="1">
      <c r="A1" s="5" t="s">
        <v>186</v>
      </c>
      <c r="B1" s="25" t="s">
        <v>187</v>
      </c>
      <c r="C1" s="5" t="s">
        <v>188</v>
      </c>
      <c r="D1" s="5" t="s">
        <v>189</v>
      </c>
      <c r="E1" s="25" t="s">
        <v>744</v>
      </c>
      <c r="F1" s="53" t="s">
        <v>745</v>
      </c>
      <c r="G1" s="53" t="s">
        <v>746</v>
      </c>
      <c r="H1" s="25" t="s">
        <v>747</v>
      </c>
      <c r="I1" s="25" t="s">
        <v>748</v>
      </c>
      <c r="J1" s="53" t="s">
        <v>749</v>
      </c>
    </row>
    <row r="2" spans="1:10">
      <c r="A2" s="14" t="s">
        <v>633</v>
      </c>
      <c r="B2" s="14" t="s">
        <v>218</v>
      </c>
      <c r="C2" s="14" t="s">
        <v>634</v>
      </c>
      <c r="D2" s="14"/>
      <c r="E2" s="1"/>
      <c r="F2" s="1"/>
      <c r="G2" s="8"/>
      <c r="H2" s="8">
        <f>'Area 4'!X4</f>
        <v>79633.965197225611</v>
      </c>
      <c r="I2" s="8">
        <f>SUM(E2:H2)</f>
        <v>79633.965197225611</v>
      </c>
      <c r="J2" s="31">
        <f>I2/15</f>
        <v>5308.9310131483744</v>
      </c>
    </row>
    <row r="3" spans="1:10">
      <c r="A3" s="68" t="s">
        <v>322</v>
      </c>
      <c r="B3" s="68" t="s">
        <v>323</v>
      </c>
      <c r="C3" s="7" t="s">
        <v>751</v>
      </c>
      <c r="D3" s="7" t="s">
        <v>752</v>
      </c>
      <c r="E3" s="1"/>
      <c r="F3" s="8">
        <f>'Area 2 -DA'!X5</f>
        <v>3209.5604621505913</v>
      </c>
      <c r="G3" s="8">
        <f>'Area 3 -DA'!X4</f>
        <v>22669.978477190663</v>
      </c>
      <c r="H3" s="8"/>
      <c r="I3" s="8">
        <f t="shared" ref="I3:I67" si="0">SUM(E3:H3)</f>
        <v>25879.538939341255</v>
      </c>
      <c r="J3" s="31">
        <f t="shared" ref="J3:J67" si="1">I3/15</f>
        <v>1725.3025959560837</v>
      </c>
    </row>
    <row r="4" spans="1:10">
      <c r="A4" s="7" t="s">
        <v>327</v>
      </c>
      <c r="B4" s="7" t="s">
        <v>328</v>
      </c>
      <c r="C4" s="7" t="s">
        <v>329</v>
      </c>
      <c r="D4" s="7" t="s">
        <v>330</v>
      </c>
      <c r="E4" s="1"/>
      <c r="F4" s="8">
        <f>'Area 2 -DA'!X6</f>
        <v>1030.7063914850289</v>
      </c>
      <c r="G4" s="8"/>
      <c r="H4" s="8">
        <f>'Area 4'!X5</f>
        <v>14.324942708008619</v>
      </c>
      <c r="I4" s="8">
        <f t="shared" si="0"/>
        <v>1045.0313341930375</v>
      </c>
      <c r="J4" s="31">
        <f t="shared" si="1"/>
        <v>69.668755612869163</v>
      </c>
    </row>
    <row r="5" spans="1:10">
      <c r="A5" s="7" t="s">
        <v>335</v>
      </c>
      <c r="B5" s="7" t="s">
        <v>336</v>
      </c>
      <c r="C5" s="7" t="s">
        <v>324</v>
      </c>
      <c r="D5" s="7" t="s">
        <v>325</v>
      </c>
      <c r="E5" s="1"/>
      <c r="F5" s="8">
        <f>'Area 2 -DA'!X7</f>
        <v>2678.6792732415652</v>
      </c>
      <c r="G5" s="8">
        <f>'Area 3 -DA'!X5</f>
        <v>50453.92949205124</v>
      </c>
      <c r="H5" s="8"/>
      <c r="I5" s="8">
        <f t="shared" si="0"/>
        <v>53132.608765292804</v>
      </c>
      <c r="J5" s="31">
        <f t="shared" si="1"/>
        <v>3542.173917686187</v>
      </c>
    </row>
    <row r="6" spans="1:10">
      <c r="A6" s="7" t="s">
        <v>341</v>
      </c>
      <c r="B6" s="7" t="s">
        <v>342</v>
      </c>
      <c r="C6" s="7" t="s">
        <v>343</v>
      </c>
      <c r="D6" s="7"/>
      <c r="E6" s="1"/>
      <c r="F6" s="8">
        <f>'Area 2 -DA'!X8</f>
        <v>19801.033134996716</v>
      </c>
      <c r="G6" s="8">
        <f>'Area 3 -DA'!X6</f>
        <v>7965.9247783964274</v>
      </c>
      <c r="H6" s="8"/>
      <c r="I6" s="8">
        <f t="shared" si="0"/>
        <v>27766.957913393144</v>
      </c>
      <c r="J6" s="31">
        <f t="shared" si="1"/>
        <v>1851.130527559543</v>
      </c>
    </row>
    <row r="7" spans="1:10">
      <c r="A7" s="7" t="s">
        <v>347</v>
      </c>
      <c r="B7" s="7" t="s">
        <v>348</v>
      </c>
      <c r="C7" s="7" t="s">
        <v>349</v>
      </c>
      <c r="D7" s="7" t="s">
        <v>350</v>
      </c>
      <c r="E7" s="1"/>
      <c r="F7" s="8">
        <f>'Area 2 -DA'!X9</f>
        <v>13719.813911379579</v>
      </c>
      <c r="G7" s="8">
        <f>'Area 3 -DA'!X7</f>
        <v>0</v>
      </c>
      <c r="H7" s="8"/>
      <c r="I7" s="8">
        <f t="shared" si="0"/>
        <v>13719.813911379579</v>
      </c>
      <c r="J7" s="31">
        <f t="shared" si="1"/>
        <v>914.65426075863854</v>
      </c>
    </row>
    <row r="8" spans="1:10">
      <c r="A8" s="7" t="s">
        <v>355</v>
      </c>
      <c r="B8" s="7" t="s">
        <v>356</v>
      </c>
      <c r="C8" s="7" t="s">
        <v>357</v>
      </c>
      <c r="D8" s="7"/>
      <c r="E8" s="1"/>
      <c r="F8" s="8">
        <f>'Area 2 -DA'!X10</f>
        <v>19.118508892618593</v>
      </c>
      <c r="G8" s="8">
        <f>'Area 3 -DA'!X8</f>
        <v>1080.3128720528364</v>
      </c>
      <c r="H8" s="8">
        <f>'Area 4'!X6</f>
        <v>41434.169045183771</v>
      </c>
      <c r="I8" s="8">
        <f t="shared" si="0"/>
        <v>42533.600426129226</v>
      </c>
      <c r="J8" s="31">
        <f t="shared" si="1"/>
        <v>2835.5733617419482</v>
      </c>
    </row>
    <row r="9" spans="1:10">
      <c r="A9" s="14" t="s">
        <v>639</v>
      </c>
      <c r="B9" s="14" t="s">
        <v>640</v>
      </c>
      <c r="C9" s="14" t="s">
        <v>641</v>
      </c>
      <c r="D9" s="14" t="s">
        <v>642</v>
      </c>
      <c r="E9" s="1"/>
      <c r="F9" s="1"/>
      <c r="G9" s="8"/>
      <c r="H9" s="8">
        <f>'Area 4'!X7</f>
        <v>78277.002442521523</v>
      </c>
      <c r="I9" s="8">
        <f t="shared" si="0"/>
        <v>78277.002442521523</v>
      </c>
      <c r="J9" s="31">
        <f t="shared" si="1"/>
        <v>5218.4668295014353</v>
      </c>
    </row>
    <row r="10" spans="1:10">
      <c r="A10" s="7" t="s">
        <v>363</v>
      </c>
      <c r="B10" s="7" t="s">
        <v>364</v>
      </c>
      <c r="C10" s="7" t="s">
        <v>365</v>
      </c>
      <c r="D10" s="7"/>
      <c r="E10" s="1"/>
      <c r="F10" s="8">
        <f>'Area 2 -DA'!X11</f>
        <v>147.79325133713689</v>
      </c>
      <c r="G10" s="8">
        <f>'Area 3 -DA'!X9</f>
        <v>1113.4965438906368</v>
      </c>
      <c r="H10" s="8"/>
      <c r="I10" s="8">
        <f t="shared" si="0"/>
        <v>1261.2897952277735</v>
      </c>
      <c r="J10" s="31">
        <f t="shared" si="1"/>
        <v>84.085986348518233</v>
      </c>
    </row>
    <row r="11" spans="1:10">
      <c r="A11" s="7" t="s">
        <v>368</v>
      </c>
      <c r="B11" s="7" t="s">
        <v>369</v>
      </c>
      <c r="C11" s="7" t="s">
        <v>370</v>
      </c>
      <c r="D11" s="7"/>
      <c r="E11" s="1"/>
      <c r="F11" s="8">
        <f>'Area 2 -DA'!X12</f>
        <v>51.316042262810143</v>
      </c>
      <c r="G11" s="8"/>
      <c r="H11" s="8"/>
      <c r="I11" s="8">
        <f t="shared" si="0"/>
        <v>51.316042262810143</v>
      </c>
      <c r="J11" s="31">
        <f t="shared" si="1"/>
        <v>3.4210694841873428</v>
      </c>
    </row>
    <row r="12" spans="1:10">
      <c r="A12" s="7" t="s">
        <v>374</v>
      </c>
      <c r="B12" s="7" t="s">
        <v>375</v>
      </c>
      <c r="C12" s="7" t="s">
        <v>370</v>
      </c>
      <c r="D12" s="7"/>
      <c r="E12" s="1"/>
      <c r="F12" s="8">
        <f>'Area 2 -DA'!X13</f>
        <v>3736.0045909753248</v>
      </c>
      <c r="G12" s="8">
        <f>'Area 3 -DA'!X10</f>
        <v>295.33467935642392</v>
      </c>
      <c r="H12" s="8"/>
      <c r="I12" s="8">
        <f t="shared" si="0"/>
        <v>4031.3392703317486</v>
      </c>
      <c r="J12" s="31">
        <f t="shared" si="1"/>
        <v>268.75595135544989</v>
      </c>
    </row>
    <row r="13" spans="1:10">
      <c r="A13" s="14" t="s">
        <v>643</v>
      </c>
      <c r="B13" s="14" t="s">
        <v>644</v>
      </c>
      <c r="C13" s="14" t="s">
        <v>645</v>
      </c>
      <c r="D13" s="14" t="s">
        <v>646</v>
      </c>
      <c r="E13" s="1"/>
      <c r="F13" s="1"/>
      <c r="G13" s="8"/>
      <c r="H13" s="8">
        <f>'Area 4'!X8</f>
        <v>24012.357573235771</v>
      </c>
      <c r="I13" s="8">
        <f t="shared" si="0"/>
        <v>24012.357573235771</v>
      </c>
      <c r="J13" s="31">
        <f t="shared" si="1"/>
        <v>1600.8238382157181</v>
      </c>
    </row>
    <row r="14" spans="1:10">
      <c r="A14" s="7" t="s">
        <v>209</v>
      </c>
      <c r="B14" s="7" t="s">
        <v>210</v>
      </c>
      <c r="C14" s="7" t="s">
        <v>211</v>
      </c>
      <c r="D14" s="7" t="s">
        <v>212</v>
      </c>
      <c r="E14" s="8">
        <f>'Area 1'!W3</f>
        <v>15810.715231986822</v>
      </c>
      <c r="F14" s="1"/>
      <c r="G14" s="8"/>
      <c r="H14" s="8"/>
      <c r="I14" s="8">
        <f t="shared" si="0"/>
        <v>15810.715231986822</v>
      </c>
      <c r="J14" s="31">
        <f t="shared" si="1"/>
        <v>1054.0476821324548</v>
      </c>
    </row>
    <row r="15" spans="1:10">
      <c r="A15" s="14" t="s">
        <v>652</v>
      </c>
      <c r="B15" s="14" t="s">
        <v>653</v>
      </c>
      <c r="C15" s="14" t="s">
        <v>654</v>
      </c>
      <c r="D15" s="14" t="s">
        <v>655</v>
      </c>
      <c r="E15" s="1"/>
      <c r="F15" s="1"/>
      <c r="G15" s="8"/>
      <c r="H15" s="8">
        <f>'Area 4'!X9</f>
        <v>106.8778613166504</v>
      </c>
      <c r="I15" s="8">
        <f t="shared" si="0"/>
        <v>106.8778613166504</v>
      </c>
      <c r="J15" s="31">
        <f t="shared" si="1"/>
        <v>7.1251907544433601</v>
      </c>
    </row>
    <row r="16" spans="1:10">
      <c r="A16" s="7" t="s">
        <v>217</v>
      </c>
      <c r="B16" s="7" t="s">
        <v>218</v>
      </c>
      <c r="C16" s="7" t="s">
        <v>211</v>
      </c>
      <c r="D16" s="7" t="s">
        <v>212</v>
      </c>
      <c r="E16" s="8">
        <f>'Area 1'!W4</f>
        <v>865.30222677018162</v>
      </c>
      <c r="F16" s="1"/>
      <c r="G16" s="8"/>
      <c r="H16" s="8"/>
      <c r="I16" s="8">
        <f t="shared" si="0"/>
        <v>865.30222677018162</v>
      </c>
      <c r="J16" s="31">
        <f t="shared" si="1"/>
        <v>57.686815118012106</v>
      </c>
    </row>
    <row r="17" spans="1:10">
      <c r="A17" s="7" t="s">
        <v>223</v>
      </c>
      <c r="B17" s="7" t="s">
        <v>224</v>
      </c>
      <c r="C17" s="7" t="s">
        <v>225</v>
      </c>
      <c r="D17" s="7"/>
      <c r="E17" s="8">
        <f>'Area 1'!W5</f>
        <v>543.3467581800619</v>
      </c>
      <c r="F17" s="1"/>
      <c r="G17" s="8"/>
      <c r="H17" s="8"/>
      <c r="I17" s="8">
        <f t="shared" si="0"/>
        <v>543.3467581800619</v>
      </c>
      <c r="J17" s="31">
        <f t="shared" si="1"/>
        <v>36.223117212004126</v>
      </c>
    </row>
    <row r="18" spans="1:10">
      <c r="A18" s="7" t="s">
        <v>376</v>
      </c>
      <c r="B18" s="7" t="s">
        <v>377</v>
      </c>
      <c r="C18" s="7" t="s">
        <v>378</v>
      </c>
      <c r="D18" s="7" t="s">
        <v>379</v>
      </c>
      <c r="E18" s="1"/>
      <c r="F18" s="8">
        <f>'Area 2 -DA'!X14</f>
        <v>7807.9207306851222</v>
      </c>
      <c r="G18" s="8"/>
      <c r="H18" s="8">
        <f>'Area 4'!X10</f>
        <v>548.10141751765582</v>
      </c>
      <c r="I18" s="8">
        <f t="shared" si="0"/>
        <v>8356.0221482027773</v>
      </c>
      <c r="J18" s="31">
        <f t="shared" si="1"/>
        <v>557.06814321351851</v>
      </c>
    </row>
    <row r="19" spans="1:10">
      <c r="A19" s="7" t="s">
        <v>385</v>
      </c>
      <c r="B19" s="7" t="s">
        <v>386</v>
      </c>
      <c r="C19" s="7" t="s">
        <v>387</v>
      </c>
      <c r="D19" s="7" t="s">
        <v>388</v>
      </c>
      <c r="E19" s="1"/>
      <c r="F19" s="8">
        <f>'Area 2 -DA'!X15</f>
        <v>18.270247405915381</v>
      </c>
      <c r="G19" s="8">
        <f>'Area 3 -DA'!X11</f>
        <v>412.95236064818323</v>
      </c>
      <c r="H19" s="8"/>
      <c r="I19" s="8">
        <f t="shared" si="0"/>
        <v>431.2226080540986</v>
      </c>
      <c r="J19" s="31">
        <f t="shared" si="1"/>
        <v>28.748173870273241</v>
      </c>
    </row>
    <row r="20" spans="1:10">
      <c r="A20" s="7" t="s">
        <v>393</v>
      </c>
      <c r="B20" s="7" t="s">
        <v>394</v>
      </c>
      <c r="C20" s="7" t="s">
        <v>395</v>
      </c>
      <c r="D20" s="7" t="s">
        <v>396</v>
      </c>
      <c r="E20" s="1"/>
      <c r="F20" s="8">
        <f>'Area 2 -DA'!X16</f>
        <v>10</v>
      </c>
      <c r="G20" s="8"/>
      <c r="H20" s="8"/>
      <c r="I20" s="8">
        <f t="shared" si="0"/>
        <v>10</v>
      </c>
      <c r="J20" s="31">
        <f t="shared" si="1"/>
        <v>0.66666666666666663</v>
      </c>
    </row>
    <row r="21" spans="1:10">
      <c r="A21" s="7" t="s">
        <v>400</v>
      </c>
      <c r="B21" s="7" t="s">
        <v>401</v>
      </c>
      <c r="C21" s="7" t="s">
        <v>402</v>
      </c>
      <c r="D21" s="7"/>
      <c r="E21" s="1"/>
      <c r="F21" s="8">
        <f>'Area 2 -DA'!X17</f>
        <v>5843.7060073402372</v>
      </c>
      <c r="G21" s="8"/>
      <c r="H21" s="8">
        <f>'Area 4'!X11</f>
        <v>318.51931433101515</v>
      </c>
      <c r="I21" s="8">
        <f t="shared" si="0"/>
        <v>6162.2253216712525</v>
      </c>
      <c r="J21" s="31">
        <f t="shared" si="1"/>
        <v>410.81502144475019</v>
      </c>
    </row>
    <row r="22" spans="1:10">
      <c r="A22" s="7" t="s">
        <v>403</v>
      </c>
      <c r="B22" s="7" t="s">
        <v>404</v>
      </c>
      <c r="C22" s="7" t="s">
        <v>405</v>
      </c>
      <c r="D22" s="7" t="s">
        <v>406</v>
      </c>
      <c r="E22" s="1"/>
      <c r="F22" s="8">
        <f>'Area 2 -DA'!X18</f>
        <v>892.30583312818874</v>
      </c>
      <c r="G22" s="8"/>
      <c r="H22" s="8"/>
      <c r="I22" s="8">
        <f t="shared" si="0"/>
        <v>892.30583312818874</v>
      </c>
      <c r="J22" s="31">
        <f t="shared" si="1"/>
        <v>59.487055541879251</v>
      </c>
    </row>
    <row r="23" spans="1:10">
      <c r="A23" s="7" t="s">
        <v>407</v>
      </c>
      <c r="B23" s="7" t="s">
        <v>408</v>
      </c>
      <c r="C23" s="7" t="s">
        <v>409</v>
      </c>
      <c r="D23" s="7" t="s">
        <v>410</v>
      </c>
      <c r="E23" s="1"/>
      <c r="F23" s="8">
        <f>'Area 2 -DA'!X19</f>
        <v>9915.5586132949575</v>
      </c>
      <c r="G23" s="8"/>
      <c r="H23" s="8">
        <f>'Area 4'!X12</f>
        <v>295.38491487743971</v>
      </c>
      <c r="I23" s="8">
        <f t="shared" si="0"/>
        <v>10210.943528172396</v>
      </c>
      <c r="J23" s="31">
        <f t="shared" si="1"/>
        <v>680.72956854482641</v>
      </c>
    </row>
    <row r="24" spans="1:10">
      <c r="A24" s="7" t="s">
        <v>413</v>
      </c>
      <c r="B24" s="7" t="s">
        <v>414</v>
      </c>
      <c r="C24" s="7" t="s">
        <v>415</v>
      </c>
      <c r="D24" s="7" t="s">
        <v>416</v>
      </c>
      <c r="E24" s="1"/>
      <c r="F24" s="8">
        <f>'Area 2 -DA'!X20</f>
        <v>3927.7769378538437</v>
      </c>
      <c r="G24" s="8"/>
      <c r="H24" s="8">
        <f>'Area 4'!X13</f>
        <v>185.68802740220795</v>
      </c>
      <c r="I24" s="8">
        <f t="shared" si="0"/>
        <v>4113.464965256052</v>
      </c>
      <c r="J24" s="31">
        <f t="shared" si="1"/>
        <v>274.2309976837368</v>
      </c>
    </row>
    <row r="25" spans="1:10">
      <c r="A25" s="7" t="s">
        <v>230</v>
      </c>
      <c r="B25" s="7" t="s">
        <v>231</v>
      </c>
      <c r="C25" s="7" t="s">
        <v>232</v>
      </c>
      <c r="D25" s="7" t="s">
        <v>233</v>
      </c>
      <c r="E25" s="8">
        <f>'Area 1'!W6</f>
        <v>3521.247222901728</v>
      </c>
      <c r="F25" s="1"/>
      <c r="G25" s="8"/>
      <c r="H25" s="8">
        <f>'Area 4'!X14</f>
        <v>2005.7983950080086</v>
      </c>
      <c r="I25" s="8">
        <f t="shared" si="0"/>
        <v>5527.0456179097364</v>
      </c>
      <c r="J25" s="31">
        <f t="shared" si="1"/>
        <v>368.46970786064907</v>
      </c>
    </row>
    <row r="26" spans="1:10">
      <c r="A26" s="7" t="s">
        <v>417</v>
      </c>
      <c r="B26" s="7" t="s">
        <v>418</v>
      </c>
      <c r="C26" s="7" t="s">
        <v>419</v>
      </c>
      <c r="D26" s="7" t="s">
        <v>420</v>
      </c>
      <c r="E26" s="1"/>
      <c r="F26" s="8">
        <f>'Area 2 -DA'!X21</f>
        <v>6759.029948219958</v>
      </c>
      <c r="G26" s="8"/>
      <c r="H26" s="8">
        <f>'Area 4'!X15</f>
        <v>469.04611872265656</v>
      </c>
      <c r="I26" s="8">
        <f t="shared" si="0"/>
        <v>7228.0760669426145</v>
      </c>
      <c r="J26" s="31">
        <f t="shared" si="1"/>
        <v>481.87173779617427</v>
      </c>
    </row>
    <row r="27" spans="1:10">
      <c r="A27" s="7" t="s">
        <v>423</v>
      </c>
      <c r="B27" s="7" t="s">
        <v>424</v>
      </c>
      <c r="C27" s="7" t="s">
        <v>425</v>
      </c>
      <c r="D27" s="7"/>
      <c r="E27" s="1"/>
      <c r="F27" s="8">
        <f>'Area 2 -DA'!X22</f>
        <v>6793.5957452388566</v>
      </c>
      <c r="G27" s="8"/>
      <c r="H27" s="8">
        <f>'Area 4'!X16</f>
        <v>367.69906416278803</v>
      </c>
      <c r="I27" s="8">
        <f t="shared" si="0"/>
        <v>7161.2948094016447</v>
      </c>
      <c r="J27" s="31">
        <f t="shared" si="1"/>
        <v>477.41965396010966</v>
      </c>
    </row>
    <row r="28" spans="1:10">
      <c r="A28" s="7" t="s">
        <v>238</v>
      </c>
      <c r="B28" s="7" t="s">
        <v>239</v>
      </c>
      <c r="C28" s="7" t="s">
        <v>240</v>
      </c>
      <c r="D28" s="7"/>
      <c r="E28" s="8">
        <f>'Area 1'!W7</f>
        <v>1468.1244415604231</v>
      </c>
      <c r="F28" s="1"/>
      <c r="G28" s="8"/>
      <c r="H28" s="8"/>
      <c r="I28" s="8">
        <f t="shared" si="0"/>
        <v>1468.1244415604231</v>
      </c>
      <c r="J28" s="31">
        <f t="shared" si="1"/>
        <v>97.874962770694864</v>
      </c>
    </row>
    <row r="29" spans="1:10">
      <c r="A29" s="7" t="s">
        <v>246</v>
      </c>
      <c r="B29" s="7" t="s">
        <v>247</v>
      </c>
      <c r="C29" s="7" t="s">
        <v>248</v>
      </c>
      <c r="D29" s="7"/>
      <c r="E29" s="8">
        <f>'Area 1'!W8</f>
        <v>14143.401169707759</v>
      </c>
      <c r="F29" s="1"/>
      <c r="G29" s="8"/>
      <c r="H29" s="8"/>
      <c r="I29" s="8">
        <f t="shared" si="0"/>
        <v>14143.401169707759</v>
      </c>
      <c r="J29" s="31">
        <f t="shared" si="1"/>
        <v>942.89341131385061</v>
      </c>
    </row>
    <row r="30" spans="1:10">
      <c r="A30" s="7" t="s">
        <v>251</v>
      </c>
      <c r="B30" s="7" t="s">
        <v>252</v>
      </c>
      <c r="C30" s="7" t="s">
        <v>253</v>
      </c>
      <c r="D30" s="7"/>
      <c r="E30" s="8">
        <f>'Area 1'!W9</f>
        <v>13970.165612599249</v>
      </c>
      <c r="F30" s="8">
        <f>'Area 2 -DA'!X23</f>
        <v>333.75826957591846</v>
      </c>
      <c r="G30" s="8"/>
      <c r="H30" s="8">
        <f>'Area 4'!X17</f>
        <v>227.13077609222219</v>
      </c>
      <c r="I30" s="8">
        <f t="shared" si="0"/>
        <v>14531.054658267391</v>
      </c>
      <c r="J30" s="31">
        <f t="shared" si="1"/>
        <v>968.73697721782605</v>
      </c>
    </row>
    <row r="31" spans="1:10">
      <c r="A31" s="7" t="s">
        <v>428</v>
      </c>
      <c r="B31" s="7" t="s">
        <v>429</v>
      </c>
      <c r="C31" s="7" t="s">
        <v>430</v>
      </c>
      <c r="D31" s="7" t="s">
        <v>431</v>
      </c>
      <c r="E31" s="1"/>
      <c r="F31" s="8">
        <f>'Area 2 -DA'!X24</f>
        <v>2602.093624317577</v>
      </c>
      <c r="G31" s="8"/>
      <c r="H31" s="8">
        <f>'Area 4'!X18</f>
        <v>71.011881766438435</v>
      </c>
      <c r="I31" s="8">
        <f t="shared" si="0"/>
        <v>2673.1055060840154</v>
      </c>
      <c r="J31" s="31">
        <f t="shared" si="1"/>
        <v>178.20703373893437</v>
      </c>
    </row>
    <row r="32" spans="1:10">
      <c r="A32" s="7" t="s">
        <v>256</v>
      </c>
      <c r="B32" s="7" t="s">
        <v>257</v>
      </c>
      <c r="C32" s="7" t="s">
        <v>258</v>
      </c>
      <c r="D32" s="7"/>
      <c r="E32" s="8">
        <f>'Area 1'!W10</f>
        <v>1740.5858235456051</v>
      </c>
      <c r="F32" s="8">
        <f>'Area 2 -DA'!X25</f>
        <v>162.47470014546178</v>
      </c>
      <c r="G32" s="8"/>
      <c r="H32" s="8">
        <f>'Area 4'!X19</f>
        <v>5670.6090051354968</v>
      </c>
      <c r="I32" s="8">
        <f t="shared" si="0"/>
        <v>7573.6695288265637</v>
      </c>
      <c r="J32" s="31">
        <f t="shared" si="1"/>
        <v>504.91130192177093</v>
      </c>
    </row>
    <row r="33" spans="1:10">
      <c r="A33" s="7" t="s">
        <v>436</v>
      </c>
      <c r="B33" s="7" t="s">
        <v>437</v>
      </c>
      <c r="C33" s="7" t="s">
        <v>438</v>
      </c>
      <c r="D33" s="7" t="s">
        <v>439</v>
      </c>
      <c r="E33" s="1"/>
      <c r="F33" s="8">
        <f>'Area 2 -DA'!X26</f>
        <v>7240.8905522658197</v>
      </c>
      <c r="G33" s="8"/>
      <c r="H33" s="8"/>
      <c r="I33" s="8">
        <f t="shared" si="0"/>
        <v>7240.8905522658197</v>
      </c>
      <c r="J33" s="31">
        <f t="shared" si="1"/>
        <v>482.72603681772131</v>
      </c>
    </row>
    <row r="34" spans="1:10">
      <c r="A34" s="7" t="s">
        <v>259</v>
      </c>
      <c r="B34" s="7" t="s">
        <v>260</v>
      </c>
      <c r="C34" s="7" t="s">
        <v>261</v>
      </c>
      <c r="D34" s="7" t="s">
        <v>262</v>
      </c>
      <c r="E34" s="8">
        <f>'Area 1'!W11</f>
        <v>20099.7024184496</v>
      </c>
      <c r="F34" s="1"/>
      <c r="G34" s="8"/>
      <c r="H34" s="8"/>
      <c r="I34" s="8">
        <f t="shared" si="0"/>
        <v>20099.7024184496</v>
      </c>
      <c r="J34" s="31">
        <f t="shared" si="1"/>
        <v>1339.9801612299734</v>
      </c>
    </row>
    <row r="35" spans="1:10">
      <c r="A35" s="7" t="s">
        <v>266</v>
      </c>
      <c r="B35" s="7" t="s">
        <v>267</v>
      </c>
      <c r="C35" s="7" t="s">
        <v>268</v>
      </c>
      <c r="D35" s="7" t="s">
        <v>269</v>
      </c>
      <c r="E35" s="8">
        <f>'Area 1'!W12</f>
        <v>1958.7500536601681</v>
      </c>
      <c r="F35" s="8">
        <f>'Area 2 -DA'!X27</f>
        <v>177.15614895378661</v>
      </c>
      <c r="G35" s="8"/>
      <c r="H35" s="8">
        <f>'Area 4'!X20</f>
        <v>76.144347870377359</v>
      </c>
      <c r="I35" s="8">
        <f t="shared" si="0"/>
        <v>2212.0505504843318</v>
      </c>
      <c r="J35" s="31">
        <f t="shared" si="1"/>
        <v>147.47003669895545</v>
      </c>
    </row>
    <row r="36" spans="1:10">
      <c r="A36" s="7" t="s">
        <v>270</v>
      </c>
      <c r="B36" s="7" t="s">
        <v>271</v>
      </c>
      <c r="C36" s="7" t="s">
        <v>272</v>
      </c>
      <c r="D36" s="7"/>
      <c r="E36" s="8">
        <f>'Area 1'!W13</f>
        <v>18038.595374969602</v>
      </c>
      <c r="F36" s="1"/>
      <c r="G36" s="8"/>
      <c r="H36" s="8"/>
      <c r="I36" s="8">
        <f t="shared" si="0"/>
        <v>18038.595374969602</v>
      </c>
      <c r="J36" s="31">
        <f t="shared" si="1"/>
        <v>1202.5730249979736</v>
      </c>
    </row>
    <row r="37" spans="1:10">
      <c r="A37" s="7" t="s">
        <v>276</v>
      </c>
      <c r="B37" s="7" t="s">
        <v>277</v>
      </c>
      <c r="C37" s="7" t="s">
        <v>278</v>
      </c>
      <c r="D37" s="7" t="s">
        <v>279</v>
      </c>
      <c r="E37" s="8">
        <f>'Area 1'!W14</f>
        <v>22639.44825750258</v>
      </c>
      <c r="F37" s="1"/>
      <c r="G37" s="8"/>
      <c r="H37" s="8"/>
      <c r="I37" s="8">
        <f t="shared" si="0"/>
        <v>22639.44825750258</v>
      </c>
      <c r="J37" s="31">
        <f t="shared" si="1"/>
        <v>1509.2965505001719</v>
      </c>
    </row>
    <row r="38" spans="1:10">
      <c r="A38" s="7" t="s">
        <v>283</v>
      </c>
      <c r="B38" s="7" t="s">
        <v>284</v>
      </c>
      <c r="C38" s="7" t="s">
        <v>285</v>
      </c>
      <c r="D38" s="7" t="s">
        <v>286</v>
      </c>
      <c r="E38" s="8">
        <f>'Area 1'!W15</f>
        <v>17850.975638028969</v>
      </c>
      <c r="F38" s="1"/>
      <c r="G38" s="8"/>
      <c r="H38" s="8"/>
      <c r="I38" s="8">
        <f t="shared" si="0"/>
        <v>17850.975638028969</v>
      </c>
      <c r="J38" s="31">
        <f t="shared" si="1"/>
        <v>1190.0650425352646</v>
      </c>
    </row>
    <row r="39" spans="1:10">
      <c r="A39" s="7" t="s">
        <v>290</v>
      </c>
      <c r="B39" s="7" t="s">
        <v>291</v>
      </c>
      <c r="C39" s="7" t="s">
        <v>292</v>
      </c>
      <c r="D39" s="7" t="s">
        <v>293</v>
      </c>
      <c r="E39" s="8">
        <f>'Area 1'!W16</f>
        <v>22043.234426780138</v>
      </c>
      <c r="F39" s="1"/>
      <c r="G39" s="8"/>
      <c r="H39" s="8"/>
      <c r="I39" s="8">
        <f t="shared" si="0"/>
        <v>22043.234426780138</v>
      </c>
      <c r="J39" s="31">
        <f t="shared" si="1"/>
        <v>1469.5489617853425</v>
      </c>
    </row>
    <row r="40" spans="1:10">
      <c r="A40" s="7" t="s">
        <v>294</v>
      </c>
      <c r="B40" s="7" t="s">
        <v>295</v>
      </c>
      <c r="C40" s="7" t="s">
        <v>296</v>
      </c>
      <c r="D40" s="7" t="s">
        <v>297</v>
      </c>
      <c r="E40" s="8">
        <f>'Area 1'!W17</f>
        <v>17448.635535478512</v>
      </c>
      <c r="F40" s="1"/>
      <c r="G40" s="8"/>
      <c r="H40" s="8"/>
      <c r="I40" s="8">
        <f t="shared" si="0"/>
        <v>17448.635535478512</v>
      </c>
      <c r="J40" s="31">
        <f t="shared" si="1"/>
        <v>1163.2423690319008</v>
      </c>
    </row>
    <row r="41" spans="1:10">
      <c r="A41" s="7" t="s">
        <v>444</v>
      </c>
      <c r="B41" s="7" t="s">
        <v>445</v>
      </c>
      <c r="C41" s="7" t="s">
        <v>329</v>
      </c>
      <c r="D41" s="7" t="s">
        <v>330</v>
      </c>
      <c r="E41" s="1"/>
      <c r="F41" s="8">
        <f>'Area 2 -DA'!X28</f>
        <v>284.82010688150217</v>
      </c>
      <c r="G41" s="8"/>
      <c r="H41" s="8"/>
      <c r="I41" s="8">
        <f t="shared" si="0"/>
        <v>284.82010688150217</v>
      </c>
      <c r="J41" s="31">
        <f t="shared" si="1"/>
        <v>18.988007125433477</v>
      </c>
    </row>
    <row r="42" spans="1:10">
      <c r="A42" s="7" t="s">
        <v>298</v>
      </c>
      <c r="B42" s="7" t="s">
        <v>299</v>
      </c>
      <c r="C42" s="7" t="s">
        <v>300</v>
      </c>
      <c r="D42" s="7" t="s">
        <v>301</v>
      </c>
      <c r="E42" s="8">
        <f>'Area 1'!W18</f>
        <v>4502.8736865750998</v>
      </c>
      <c r="F42" s="1"/>
      <c r="G42" s="8"/>
      <c r="H42" s="8"/>
      <c r="I42" s="8">
        <f t="shared" si="0"/>
        <v>4502.8736865750998</v>
      </c>
      <c r="J42" s="31">
        <f t="shared" si="1"/>
        <v>300.19157910500667</v>
      </c>
    </row>
    <row r="43" spans="1:10">
      <c r="A43" s="14" t="s">
        <v>659</v>
      </c>
      <c r="B43" s="14" t="s">
        <v>660</v>
      </c>
      <c r="C43" s="14" t="s">
        <v>661</v>
      </c>
      <c r="D43" s="14" t="s">
        <v>662</v>
      </c>
      <c r="E43" s="1"/>
      <c r="F43" s="1"/>
      <c r="G43" s="8"/>
      <c r="H43" s="8">
        <f>'Area 4'!X21</f>
        <v>30702.871857592807</v>
      </c>
      <c r="I43" s="8">
        <f t="shared" si="0"/>
        <v>30702.871857592807</v>
      </c>
      <c r="J43" s="31">
        <f t="shared" si="1"/>
        <v>2046.8581238395204</v>
      </c>
    </row>
    <row r="44" spans="1:10">
      <c r="A44" s="7" t="s">
        <v>446</v>
      </c>
      <c r="B44" s="7" t="s">
        <v>447</v>
      </c>
      <c r="C44" s="7" t="s">
        <v>448</v>
      </c>
      <c r="D44" s="7"/>
      <c r="E44" s="1"/>
      <c r="F44" s="8">
        <f>'Area 2 -DA'!X29</f>
        <v>10</v>
      </c>
      <c r="G44" s="8">
        <f>'Area 3 -DA'!X12</f>
        <v>43.138773389140567</v>
      </c>
      <c r="H44" s="8"/>
      <c r="I44" s="8">
        <f t="shared" si="0"/>
        <v>53.138773389140567</v>
      </c>
      <c r="J44" s="31">
        <f t="shared" si="1"/>
        <v>3.542584892609371</v>
      </c>
    </row>
    <row r="45" spans="1:10">
      <c r="A45" s="14" t="s">
        <v>663</v>
      </c>
      <c r="B45" s="14" t="s">
        <v>664</v>
      </c>
      <c r="C45" s="14" t="s">
        <v>665</v>
      </c>
      <c r="D45" s="14" t="s">
        <v>666</v>
      </c>
      <c r="E45" s="1"/>
      <c r="F45" s="1"/>
      <c r="G45" s="8"/>
      <c r="H45" s="8">
        <f>'Area 4'!X22</f>
        <v>31649.696947811979</v>
      </c>
      <c r="I45" s="8">
        <f t="shared" si="0"/>
        <v>31649.696947811979</v>
      </c>
      <c r="J45" s="31">
        <f t="shared" si="1"/>
        <v>2109.9797965207986</v>
      </c>
    </row>
    <row r="46" spans="1:10">
      <c r="A46" s="7" t="s">
        <v>449</v>
      </c>
      <c r="B46" s="7" t="s">
        <v>450</v>
      </c>
      <c r="C46" s="7" t="s">
        <v>451</v>
      </c>
      <c r="D46" s="7" t="s">
        <v>452</v>
      </c>
      <c r="E46" s="1"/>
      <c r="F46" s="8">
        <f>'Area 2 -DA'!X30</f>
        <v>1189.3931061250912</v>
      </c>
      <c r="G46" s="8">
        <f>'Area 3 -DA'!X13</f>
        <v>15121.799256485658</v>
      </c>
      <c r="H46" s="8"/>
      <c r="I46" s="8">
        <f t="shared" si="0"/>
        <v>16311.192362610749</v>
      </c>
      <c r="J46" s="31">
        <f t="shared" si="1"/>
        <v>1087.41282417405</v>
      </c>
    </row>
    <row r="47" spans="1:10">
      <c r="A47" s="7" t="s">
        <v>457</v>
      </c>
      <c r="B47" s="7" t="s">
        <v>458</v>
      </c>
      <c r="C47" s="7" t="s">
        <v>459</v>
      </c>
      <c r="D47" s="7" t="s">
        <v>460</v>
      </c>
      <c r="E47" s="1"/>
      <c r="F47" s="8">
        <f>'Area 2 -DA'!X31</f>
        <v>54.810742217746146</v>
      </c>
      <c r="G47" s="8">
        <f>'Area 3 -DA'!X14</f>
        <v>1393.7142171876185</v>
      </c>
      <c r="H47" s="8"/>
      <c r="I47" s="8">
        <f t="shared" si="0"/>
        <v>1448.5249594053646</v>
      </c>
      <c r="J47" s="31">
        <f t="shared" si="1"/>
        <v>96.568330627024309</v>
      </c>
    </row>
    <row r="48" spans="1:10">
      <c r="A48" s="7" t="s">
        <v>461</v>
      </c>
      <c r="B48" s="7" t="s">
        <v>445</v>
      </c>
      <c r="C48" s="7" t="s">
        <v>462</v>
      </c>
      <c r="D48" s="7"/>
      <c r="E48" s="1"/>
      <c r="F48" s="8">
        <f>'Area 2 -DA'!X32</f>
        <v>1913.2864087008952</v>
      </c>
      <c r="G48" s="8">
        <f>'Area 3 -DA'!X15</f>
        <v>5405.6201423776902</v>
      </c>
      <c r="H48" s="8"/>
      <c r="I48" s="8">
        <f t="shared" si="0"/>
        <v>7318.9065510785858</v>
      </c>
      <c r="J48" s="31">
        <f t="shared" si="1"/>
        <v>487.92710340523905</v>
      </c>
    </row>
    <row r="49" spans="1:10" ht="32.450000000000003" customHeight="1">
      <c r="A49" s="5" t="s">
        <v>186</v>
      </c>
      <c r="B49" s="25" t="s">
        <v>187</v>
      </c>
      <c r="C49" s="5" t="s">
        <v>188</v>
      </c>
      <c r="D49" s="5" t="s">
        <v>189</v>
      </c>
      <c r="E49" s="25" t="s">
        <v>744</v>
      </c>
      <c r="F49" s="53" t="s">
        <v>745</v>
      </c>
      <c r="G49" s="53" t="s">
        <v>746</v>
      </c>
      <c r="H49" s="25" t="s">
        <v>747</v>
      </c>
      <c r="I49" s="25" t="s">
        <v>748</v>
      </c>
      <c r="J49" s="25" t="s">
        <v>749</v>
      </c>
    </row>
    <row r="50" spans="1:10">
      <c r="A50" s="7" t="s">
        <v>468</v>
      </c>
      <c r="B50" s="7" t="s">
        <v>469</v>
      </c>
      <c r="C50" s="7" t="s">
        <v>470</v>
      </c>
      <c r="D50" s="7" t="s">
        <v>471</v>
      </c>
      <c r="E50" s="1"/>
      <c r="F50" s="8">
        <f>'Area 2 -DA'!X33</f>
        <v>550.9784610555339</v>
      </c>
      <c r="G50" s="8">
        <f>'Area 3 -DA'!X16</f>
        <v>14010.146249919342</v>
      </c>
      <c r="H50" s="8"/>
      <c r="I50" s="8">
        <f t="shared" si="0"/>
        <v>14561.124710974877</v>
      </c>
      <c r="J50" s="31">
        <f t="shared" si="1"/>
        <v>970.74164739832509</v>
      </c>
    </row>
    <row r="51" spans="1:10">
      <c r="A51" s="7" t="s">
        <v>475</v>
      </c>
      <c r="B51" s="7" t="s">
        <v>476</v>
      </c>
      <c r="C51" s="7" t="s">
        <v>477</v>
      </c>
      <c r="D51" s="7" t="s">
        <v>478</v>
      </c>
      <c r="E51" s="1"/>
      <c r="F51" s="8">
        <f>'Area 2 -DA'!X34</f>
        <v>4007.7092702547238</v>
      </c>
      <c r="G51" s="8">
        <f>'Area 3 -DA'!X17</f>
        <v>18116.80999357958</v>
      </c>
      <c r="H51" s="8"/>
      <c r="I51" s="8">
        <f t="shared" si="0"/>
        <v>22124.519263834303</v>
      </c>
      <c r="J51" s="31">
        <f t="shared" si="1"/>
        <v>1474.9679509222869</v>
      </c>
    </row>
    <row r="52" spans="1:10">
      <c r="A52" s="14" t="s">
        <v>671</v>
      </c>
      <c r="B52" s="14" t="s">
        <v>672</v>
      </c>
      <c r="C52" s="14" t="s">
        <v>673</v>
      </c>
      <c r="D52" s="14"/>
      <c r="E52" s="1"/>
      <c r="F52" s="1"/>
      <c r="G52" s="8"/>
      <c r="H52" s="8">
        <f>'Area 4'!X23</f>
        <v>21355.961646574731</v>
      </c>
      <c r="I52" s="8">
        <f t="shared" si="0"/>
        <v>21355.961646574731</v>
      </c>
      <c r="J52" s="31">
        <f t="shared" si="1"/>
        <v>1423.7307764383154</v>
      </c>
    </row>
    <row r="53" spans="1:10">
      <c r="A53" s="14" t="s">
        <v>676</v>
      </c>
      <c r="B53" s="14" t="s">
        <v>677</v>
      </c>
      <c r="C53" s="14" t="s">
        <v>678</v>
      </c>
      <c r="D53" s="14" t="s">
        <v>679</v>
      </c>
      <c r="E53" s="1"/>
      <c r="F53" s="1"/>
      <c r="G53" s="8"/>
      <c r="H53" s="8">
        <f>'Area 4'!X24</f>
        <v>21319.191740158451</v>
      </c>
      <c r="I53" s="8">
        <f t="shared" si="0"/>
        <v>21319.191740158451</v>
      </c>
      <c r="J53" s="31">
        <f t="shared" si="1"/>
        <v>1421.2794493438967</v>
      </c>
    </row>
    <row r="54" spans="1:10">
      <c r="A54" s="7" t="s">
        <v>482</v>
      </c>
      <c r="B54" s="7" t="s">
        <v>445</v>
      </c>
      <c r="C54" s="7" t="s">
        <v>483</v>
      </c>
      <c r="D54" s="7"/>
      <c r="E54" s="1"/>
      <c r="F54" s="8">
        <f>'Area 2 -DA'!X35</f>
        <v>1534.3745276789293</v>
      </c>
      <c r="G54" s="8">
        <f>'Area 3 -DA'!X18</f>
        <v>6936.12482903002</v>
      </c>
      <c r="H54" s="8"/>
      <c r="I54" s="8">
        <f t="shared" si="0"/>
        <v>8470.4993567089496</v>
      </c>
      <c r="J54" s="31">
        <f t="shared" si="1"/>
        <v>564.69995711392994</v>
      </c>
    </row>
    <row r="55" spans="1:10">
      <c r="A55" s="7" t="s">
        <v>487</v>
      </c>
      <c r="B55" s="7" t="s">
        <v>445</v>
      </c>
      <c r="C55" s="7" t="s">
        <v>462</v>
      </c>
      <c r="D55" s="7"/>
      <c r="E55" s="1"/>
      <c r="F55" s="8">
        <f>'Area 2 -DA'!X36</f>
        <v>2205.675618079134</v>
      </c>
      <c r="G55" s="8">
        <f>'Area 3 -DA'!X19</f>
        <v>5341.4650434912764</v>
      </c>
      <c r="H55" s="8"/>
      <c r="I55" s="8">
        <f t="shared" si="0"/>
        <v>7547.1406615704109</v>
      </c>
      <c r="J55" s="31">
        <f t="shared" si="1"/>
        <v>503.14271077136073</v>
      </c>
    </row>
    <row r="56" spans="1:10">
      <c r="A56" s="7" t="s">
        <v>488</v>
      </c>
      <c r="B56" s="7" t="s">
        <v>489</v>
      </c>
      <c r="C56" s="7" t="s">
        <v>490</v>
      </c>
      <c r="D56" s="7"/>
      <c r="E56" s="1"/>
      <c r="F56" s="8">
        <f>'Area 2 -DA'!X37</f>
        <v>2506.8084458587755</v>
      </c>
      <c r="G56" s="8">
        <f>'Area 3 -DA'!X20</f>
        <v>23608.338975270686</v>
      </c>
      <c r="H56" s="8"/>
      <c r="I56" s="8">
        <f t="shared" si="0"/>
        <v>26115.147421129463</v>
      </c>
      <c r="J56" s="31">
        <f t="shared" si="1"/>
        <v>1741.0098280752975</v>
      </c>
    </row>
    <row r="57" spans="1:10">
      <c r="A57" s="7" t="s">
        <v>494</v>
      </c>
      <c r="B57" s="7" t="s">
        <v>218</v>
      </c>
      <c r="C57" s="7" t="s">
        <v>495</v>
      </c>
      <c r="D57" s="7" t="s">
        <v>496</v>
      </c>
      <c r="E57" s="1"/>
      <c r="F57" s="8">
        <f>'Area 2 -DA'!X38</f>
        <v>15661.929190728777</v>
      </c>
      <c r="G57" s="8"/>
      <c r="H57" s="8">
        <f>'Area 4'!X25</f>
        <v>98510.256279852532</v>
      </c>
      <c r="I57" s="8">
        <f t="shared" si="0"/>
        <v>114172.18547058132</v>
      </c>
      <c r="J57" s="31">
        <f t="shared" si="1"/>
        <v>7611.4790313720878</v>
      </c>
    </row>
    <row r="58" spans="1:10">
      <c r="A58" s="7" t="s">
        <v>502</v>
      </c>
      <c r="B58" s="7" t="s">
        <v>503</v>
      </c>
      <c r="C58" s="7" t="s">
        <v>504</v>
      </c>
      <c r="D58" s="7" t="s">
        <v>505</v>
      </c>
      <c r="E58" s="1"/>
      <c r="F58" s="8">
        <f>'Area 2 -DA'!X39</f>
        <v>2491.6702408653027</v>
      </c>
      <c r="G58" s="8">
        <f>'Area 3 -DA'!X21</f>
        <v>31678.792319956188</v>
      </c>
      <c r="H58" s="8"/>
      <c r="I58" s="8">
        <f t="shared" si="0"/>
        <v>34170.462560821492</v>
      </c>
      <c r="J58" s="31">
        <f t="shared" si="1"/>
        <v>2278.0308373880994</v>
      </c>
    </row>
    <row r="59" spans="1:10">
      <c r="A59" s="7" t="s">
        <v>508</v>
      </c>
      <c r="B59" s="7" t="s">
        <v>509</v>
      </c>
      <c r="C59" s="7" t="s">
        <v>510</v>
      </c>
      <c r="D59" s="7" t="s">
        <v>511</v>
      </c>
      <c r="E59" s="1"/>
      <c r="F59" s="8">
        <f>'Area 2 -DA'!X40</f>
        <v>1365.0484847562491</v>
      </c>
      <c r="G59" s="8">
        <f>'Area 3 -DA'!X22</f>
        <v>19283.400412410694</v>
      </c>
      <c r="H59" s="8"/>
      <c r="I59" s="8">
        <f t="shared" si="0"/>
        <v>20648.448897166942</v>
      </c>
      <c r="J59" s="31">
        <f t="shared" si="1"/>
        <v>1376.5632598111295</v>
      </c>
    </row>
    <row r="60" spans="1:10">
      <c r="A60" s="7" t="s">
        <v>512</v>
      </c>
      <c r="B60" s="7" t="s">
        <v>513</v>
      </c>
      <c r="C60" s="7" t="s">
        <v>514</v>
      </c>
      <c r="D60" s="7" t="s">
        <v>515</v>
      </c>
      <c r="E60" s="1"/>
      <c r="F60" s="8">
        <f>'Area 2 -DA'!X41</f>
        <v>4046.5335459922935</v>
      </c>
      <c r="G60" s="8">
        <f>'Area 3 -DA'!X23</f>
        <v>17411.841320758755</v>
      </c>
      <c r="H60" s="8"/>
      <c r="I60" s="8">
        <f t="shared" si="0"/>
        <v>21458.374866751048</v>
      </c>
      <c r="J60" s="31">
        <f t="shared" si="1"/>
        <v>1430.5583244500699</v>
      </c>
    </row>
    <row r="61" spans="1:10">
      <c r="A61" s="7" t="s">
        <v>516</v>
      </c>
      <c r="B61" s="7" t="s">
        <v>517</v>
      </c>
      <c r="C61" s="7" t="s">
        <v>518</v>
      </c>
      <c r="D61" s="7"/>
      <c r="E61" s="1"/>
      <c r="F61" s="8">
        <f>'Area 2 -DA'!X42</f>
        <v>4061.4759983349886</v>
      </c>
      <c r="G61" s="8">
        <f>'Area 3 -DA'!X24</f>
        <v>9739.4076843944276</v>
      </c>
      <c r="H61" s="8"/>
      <c r="I61" s="8">
        <f t="shared" si="0"/>
        <v>13800.883682729416</v>
      </c>
      <c r="J61" s="31">
        <f t="shared" si="1"/>
        <v>920.05891218196109</v>
      </c>
    </row>
    <row r="62" spans="1:10">
      <c r="A62" s="7" t="s">
        <v>519</v>
      </c>
      <c r="B62" s="7" t="s">
        <v>520</v>
      </c>
      <c r="C62" s="7" t="s">
        <v>521</v>
      </c>
      <c r="D62" s="7"/>
      <c r="E62" s="1"/>
      <c r="F62" s="8">
        <f>'Area 2 -DA'!X43</f>
        <v>4807.2935977978914</v>
      </c>
      <c r="G62" s="8">
        <f>'Area 3 -DA'!X25</f>
        <v>13095.383029590645</v>
      </c>
      <c r="H62" s="8"/>
      <c r="I62" s="8">
        <f t="shared" si="0"/>
        <v>17902.676627388537</v>
      </c>
      <c r="J62" s="31">
        <f t="shared" si="1"/>
        <v>1193.5117751592359</v>
      </c>
    </row>
    <row r="63" spans="1:10">
      <c r="A63" s="7" t="s">
        <v>522</v>
      </c>
      <c r="B63" s="7" t="s">
        <v>523</v>
      </c>
      <c r="C63" s="7" t="s">
        <v>524</v>
      </c>
      <c r="D63" s="7" t="s">
        <v>525</v>
      </c>
      <c r="E63" s="1"/>
      <c r="F63" s="8">
        <f>'Area 2 -DA'!X44</f>
        <v>3490.2697633657631</v>
      </c>
      <c r="G63" s="8">
        <f>'Area 3 -DA'!X26</f>
        <v>12947.531336180002</v>
      </c>
      <c r="H63" s="8"/>
      <c r="I63" s="8">
        <f t="shared" si="0"/>
        <v>16437.801099545766</v>
      </c>
      <c r="J63" s="31">
        <f t="shared" si="1"/>
        <v>1095.8534066363843</v>
      </c>
    </row>
    <row r="64" spans="1:10">
      <c r="A64" s="7" t="s">
        <v>526</v>
      </c>
      <c r="B64" s="7" t="s">
        <v>527</v>
      </c>
      <c r="C64" s="7" t="s">
        <v>528</v>
      </c>
      <c r="D64" s="7" t="s">
        <v>529</v>
      </c>
      <c r="E64" s="1"/>
      <c r="F64" s="8">
        <f>'Area 2 -DA'!X45</f>
        <v>5654.6415721308094</v>
      </c>
      <c r="G64" s="8">
        <f>'Area 3 -DA'!X27</f>
        <v>9129.1968300437638</v>
      </c>
      <c r="H64" s="8"/>
      <c r="I64" s="8">
        <f t="shared" si="0"/>
        <v>14783.838402174573</v>
      </c>
      <c r="J64" s="31">
        <f t="shared" si="1"/>
        <v>985.58922681163824</v>
      </c>
    </row>
    <row r="65" spans="1:10">
      <c r="A65" s="7" t="s">
        <v>534</v>
      </c>
      <c r="B65" s="7" t="s">
        <v>535</v>
      </c>
      <c r="C65" s="7" t="s">
        <v>536</v>
      </c>
      <c r="D65" s="7" t="s">
        <v>537</v>
      </c>
      <c r="E65" s="1"/>
      <c r="F65" s="8">
        <f>'Area 2 -DA'!X46</f>
        <v>11458.123843993269</v>
      </c>
      <c r="G65" s="8">
        <f>'Area 3 -DA'!X28</f>
        <v>1576.2244122955203</v>
      </c>
      <c r="H65" s="8">
        <f>'Area 4'!X26</f>
        <v>1091.2235768747739</v>
      </c>
      <c r="I65" s="8">
        <f t="shared" si="0"/>
        <v>14125.571833163563</v>
      </c>
      <c r="J65" s="31">
        <f t="shared" si="1"/>
        <v>941.70478887757088</v>
      </c>
    </row>
    <row r="66" spans="1:10">
      <c r="A66" s="7" t="s">
        <v>540</v>
      </c>
      <c r="B66" s="7" t="s">
        <v>541</v>
      </c>
      <c r="C66" s="7" t="s">
        <v>542</v>
      </c>
      <c r="D66" s="7" t="s">
        <v>543</v>
      </c>
      <c r="E66" s="1"/>
      <c r="F66" s="8">
        <f>'Area 2 -DA'!X47</f>
        <v>4028.2632985863784</v>
      </c>
      <c r="G66" s="8">
        <f>'Area 3 -DA'!X29</f>
        <v>22762.155343406776</v>
      </c>
      <c r="H66" s="8"/>
      <c r="I66" s="8">
        <f t="shared" si="0"/>
        <v>26790.418641993154</v>
      </c>
      <c r="J66" s="31">
        <f t="shared" si="1"/>
        <v>1786.0279094662103</v>
      </c>
    </row>
    <row r="67" spans="1:10">
      <c r="A67" s="7" t="s">
        <v>303</v>
      </c>
      <c r="B67" s="7" t="s">
        <v>304</v>
      </c>
      <c r="C67" s="7" t="s">
        <v>305</v>
      </c>
      <c r="D67" s="7" t="s">
        <v>306</v>
      </c>
      <c r="E67" s="8">
        <f>'Area 1'!W19</f>
        <v>0</v>
      </c>
      <c r="F67" s="1"/>
      <c r="G67" s="8"/>
      <c r="H67" s="8"/>
      <c r="I67" s="8">
        <f t="shared" si="0"/>
        <v>0</v>
      </c>
      <c r="J67" s="31">
        <f t="shared" si="1"/>
        <v>0</v>
      </c>
    </row>
    <row r="68" spans="1:10">
      <c r="A68" s="7" t="s">
        <v>546</v>
      </c>
      <c r="B68" s="7" t="s">
        <v>547</v>
      </c>
      <c r="C68" s="7" t="s">
        <v>548</v>
      </c>
      <c r="D68" s="7" t="s">
        <v>549</v>
      </c>
      <c r="E68" s="1"/>
      <c r="F68" s="8">
        <f>'Area 2 -DA'!X48</f>
        <v>4049.9918428226997</v>
      </c>
      <c r="G68" s="8">
        <f>'Area 3 -DA'!X30</f>
        <v>56379.058452422934</v>
      </c>
      <c r="H68" s="8">
        <f>'Area 4'!X27</f>
        <v>1983.7364511582416</v>
      </c>
      <c r="I68" s="8">
        <f t="shared" ref="I68:I94" si="2">SUM(E68:H68)</f>
        <v>62412.786746403879</v>
      </c>
      <c r="J68" s="31">
        <f t="shared" ref="J68:J96" si="3">I68/15</f>
        <v>4160.8524497602584</v>
      </c>
    </row>
    <row r="69" spans="1:10">
      <c r="A69" s="7" t="s">
        <v>550</v>
      </c>
      <c r="B69" s="7" t="s">
        <v>445</v>
      </c>
      <c r="C69" s="7" t="s">
        <v>232</v>
      </c>
      <c r="D69" s="7" t="s">
        <v>233</v>
      </c>
      <c r="E69" s="1"/>
      <c r="F69" s="8">
        <f>'Area 2 -DA'!X49</f>
        <v>2571.1458170810347</v>
      </c>
      <c r="G69" s="8">
        <f>'Area 3 -DA'!X31</f>
        <v>36321.372363796901</v>
      </c>
      <c r="H69" s="8">
        <f>'Area 4'!X28</f>
        <v>2648.0460937456783</v>
      </c>
      <c r="I69" s="8">
        <f t="shared" si="2"/>
        <v>41540.564274623619</v>
      </c>
      <c r="J69" s="31">
        <f t="shared" si="3"/>
        <v>2769.3709516415747</v>
      </c>
    </row>
    <row r="70" spans="1:10">
      <c r="A70" s="7" t="s">
        <v>552</v>
      </c>
      <c r="B70" s="7" t="s">
        <v>553</v>
      </c>
      <c r="C70" s="7" t="s">
        <v>554</v>
      </c>
      <c r="D70" s="7" t="s">
        <v>555</v>
      </c>
      <c r="E70" s="1"/>
      <c r="F70" s="8">
        <f>'Area 2 -DA'!X50</f>
        <v>13252.540314073683</v>
      </c>
      <c r="G70" s="8">
        <f>'Area 3 -DA'!X32</f>
        <v>3884.7018498118377</v>
      </c>
      <c r="H70" s="8">
        <f>'Area 4'!X29</f>
        <v>2901.988259933104</v>
      </c>
      <c r="I70" s="8">
        <f t="shared" si="2"/>
        <v>20039.230423818626</v>
      </c>
      <c r="J70" s="31">
        <f t="shared" si="3"/>
        <v>1335.9486949212417</v>
      </c>
    </row>
    <row r="71" spans="1:10">
      <c r="A71" s="14" t="s">
        <v>684</v>
      </c>
      <c r="B71" s="14" t="s">
        <v>685</v>
      </c>
      <c r="C71" s="14" t="s">
        <v>686</v>
      </c>
      <c r="D71" s="14" t="s">
        <v>687</v>
      </c>
      <c r="E71" s="1"/>
      <c r="F71" s="1"/>
      <c r="G71" s="8"/>
      <c r="H71" s="8">
        <f>'Area 4'!X30</f>
        <v>33930.043977394867</v>
      </c>
      <c r="I71" s="8">
        <f t="shared" si="2"/>
        <v>33930.043977394867</v>
      </c>
      <c r="J71" s="31">
        <f t="shared" si="3"/>
        <v>2262.0029318263246</v>
      </c>
    </row>
    <row r="72" spans="1:10">
      <c r="A72" s="14" t="s">
        <v>691</v>
      </c>
      <c r="B72" s="14" t="s">
        <v>692</v>
      </c>
      <c r="C72" s="14" t="s">
        <v>693</v>
      </c>
      <c r="D72" s="14" t="s">
        <v>694</v>
      </c>
      <c r="E72" s="1"/>
      <c r="F72" s="1"/>
      <c r="G72" s="8"/>
      <c r="H72" s="8">
        <f>'Area 4'!X31</f>
        <v>37983.221403249969</v>
      </c>
      <c r="I72" s="8">
        <f t="shared" si="2"/>
        <v>37983.221403249969</v>
      </c>
      <c r="J72" s="31">
        <f t="shared" si="3"/>
        <v>2532.2147602166647</v>
      </c>
    </row>
    <row r="73" spans="1:10">
      <c r="A73" s="7" t="s">
        <v>560</v>
      </c>
      <c r="B73" s="7" t="s">
        <v>561</v>
      </c>
      <c r="C73" s="7" t="s">
        <v>528</v>
      </c>
      <c r="D73" s="7" t="s">
        <v>529</v>
      </c>
      <c r="E73" s="1"/>
      <c r="F73" s="8">
        <f>'Area 2 -DA'!X51</f>
        <v>2548.4385095908247</v>
      </c>
      <c r="G73" s="8">
        <f>'Area 3 -DA'!X33</f>
        <v>3600.0596869364826</v>
      </c>
      <c r="H73" s="8"/>
      <c r="I73" s="8">
        <f t="shared" si="2"/>
        <v>6148.4981965273073</v>
      </c>
      <c r="J73" s="31">
        <f t="shared" si="3"/>
        <v>409.89987976848715</v>
      </c>
    </row>
    <row r="74" spans="1:10">
      <c r="A74" s="7" t="s">
        <v>562</v>
      </c>
      <c r="B74" s="7" t="s">
        <v>563</v>
      </c>
      <c r="C74" s="7" t="s">
        <v>564</v>
      </c>
      <c r="D74" s="7" t="s">
        <v>565</v>
      </c>
      <c r="E74" s="1"/>
      <c r="F74" s="8">
        <f>'Area 2 -DA'!X52</f>
        <v>6474.9756806564101</v>
      </c>
      <c r="G74" s="8">
        <f>'Area 3 -DA'!X34</f>
        <v>4573.4473941786291</v>
      </c>
      <c r="H74" s="8"/>
      <c r="I74" s="8">
        <f t="shared" si="2"/>
        <v>11048.423074835038</v>
      </c>
      <c r="J74" s="31">
        <f t="shared" si="3"/>
        <v>736.56153832233588</v>
      </c>
    </row>
    <row r="75" spans="1:10">
      <c r="A75" s="7" t="s">
        <v>568</v>
      </c>
      <c r="B75" s="7" t="s">
        <v>569</v>
      </c>
      <c r="C75" s="7" t="s">
        <v>570</v>
      </c>
      <c r="D75" s="7" t="s">
        <v>571</v>
      </c>
      <c r="E75" s="1"/>
      <c r="F75" s="8">
        <f>'Area 2 -DA'!X53</f>
        <v>5713.1063638297392</v>
      </c>
      <c r="G75" s="8">
        <f>'Area 3 -DA'!X35</f>
        <v>4150.6136734720785</v>
      </c>
      <c r="H75" s="8"/>
      <c r="I75" s="8">
        <f t="shared" si="2"/>
        <v>9863.7200373018168</v>
      </c>
      <c r="J75" s="31">
        <f t="shared" si="3"/>
        <v>657.58133582012113</v>
      </c>
    </row>
    <row r="76" spans="1:10">
      <c r="A76" s="7" t="s">
        <v>576</v>
      </c>
      <c r="B76" s="7" t="s">
        <v>577</v>
      </c>
      <c r="C76" s="7" t="s">
        <v>578</v>
      </c>
      <c r="D76" s="7" t="s">
        <v>579</v>
      </c>
      <c r="E76" s="1"/>
      <c r="F76" s="8">
        <f>'Area 2 -DA'!X54</f>
        <v>6468.1895887627861</v>
      </c>
      <c r="G76" s="8">
        <f>'Area 3 -DA'!X36</f>
        <v>2824.2623101151953</v>
      </c>
      <c r="H76" s="8"/>
      <c r="I76" s="8">
        <f t="shared" si="2"/>
        <v>9292.4518988779819</v>
      </c>
      <c r="J76" s="31">
        <f t="shared" si="3"/>
        <v>619.49679325853208</v>
      </c>
    </row>
    <row r="77" spans="1:10">
      <c r="A77" s="7" t="s">
        <v>584</v>
      </c>
      <c r="B77" s="7" t="s">
        <v>585</v>
      </c>
      <c r="C77" s="7" t="s">
        <v>586</v>
      </c>
      <c r="D77" s="7"/>
      <c r="E77" s="1"/>
      <c r="F77" s="8">
        <f>'Area 2 -DA'!X55</f>
        <v>6325.3554045786823</v>
      </c>
      <c r="G77" s="8">
        <f>'Area 3 -DA'!X37</f>
        <v>3081.2882838722021</v>
      </c>
      <c r="H77" s="8"/>
      <c r="I77" s="8">
        <f t="shared" si="2"/>
        <v>9406.6436884508839</v>
      </c>
      <c r="J77" s="31">
        <f t="shared" si="3"/>
        <v>627.1095792300589</v>
      </c>
    </row>
    <row r="78" spans="1:10">
      <c r="A78" s="7" t="s">
        <v>592</v>
      </c>
      <c r="B78" s="7" t="s">
        <v>218</v>
      </c>
      <c r="C78" s="7" t="s">
        <v>495</v>
      </c>
      <c r="D78" s="7" t="s">
        <v>496</v>
      </c>
      <c r="E78" s="1"/>
      <c r="F78" s="8">
        <f>'Area 2 -DA'!X56</f>
        <v>0</v>
      </c>
      <c r="G78" s="8"/>
      <c r="H78" s="8">
        <f>'Area 4'!X32</f>
        <v>33309.398598676766</v>
      </c>
      <c r="I78" s="8">
        <f t="shared" si="2"/>
        <v>33309.398598676766</v>
      </c>
      <c r="J78" s="31">
        <f t="shared" si="3"/>
        <v>2220.6265732451179</v>
      </c>
    </row>
    <row r="79" spans="1:10">
      <c r="A79" s="69" t="s">
        <v>695</v>
      </c>
      <c r="B79" s="69" t="s">
        <v>696</v>
      </c>
      <c r="C79" s="14" t="s">
        <v>753</v>
      </c>
      <c r="D79" s="14"/>
      <c r="E79" s="1"/>
      <c r="F79" s="1"/>
      <c r="G79" s="8"/>
      <c r="H79" s="8">
        <f>'Area 4'!X33</f>
        <v>72542.275913072648</v>
      </c>
      <c r="I79" s="8">
        <f t="shared" si="2"/>
        <v>72542.275913072648</v>
      </c>
      <c r="J79" s="31">
        <f t="shared" si="3"/>
        <v>4836.1517275381766</v>
      </c>
    </row>
    <row r="80" spans="1:10">
      <c r="A80" s="14" t="s">
        <v>703</v>
      </c>
      <c r="B80" s="14" t="s">
        <v>704</v>
      </c>
      <c r="C80" s="14" t="s">
        <v>705</v>
      </c>
      <c r="D80" s="14"/>
      <c r="E80" s="1"/>
      <c r="F80" s="1"/>
      <c r="G80" s="8"/>
      <c r="H80" s="8">
        <f>'Area 4'!X34</f>
        <v>87872.415937736281</v>
      </c>
      <c r="I80" s="8">
        <f t="shared" si="2"/>
        <v>87872.415937736281</v>
      </c>
      <c r="J80" s="31">
        <f t="shared" si="3"/>
        <v>5858.1610625157518</v>
      </c>
    </row>
    <row r="81" spans="1:10">
      <c r="A81" s="14" t="s">
        <v>710</v>
      </c>
      <c r="B81" s="14" t="s">
        <v>711</v>
      </c>
      <c r="C81" s="14" t="s">
        <v>712</v>
      </c>
      <c r="D81" s="14" t="s">
        <v>713</v>
      </c>
      <c r="E81" s="1"/>
      <c r="F81" s="1"/>
      <c r="G81" s="8"/>
      <c r="H81" s="8">
        <f>'Area 4'!X35</f>
        <v>97172.1381021868</v>
      </c>
      <c r="I81" s="8">
        <f t="shared" si="2"/>
        <v>97172.1381021868</v>
      </c>
      <c r="J81" s="31">
        <f t="shared" si="3"/>
        <v>6478.1425401457864</v>
      </c>
    </row>
    <row r="82" spans="1:10">
      <c r="A82" s="14" t="s">
        <v>714</v>
      </c>
      <c r="B82" s="14" t="s">
        <v>715</v>
      </c>
      <c r="C82" s="14" t="s">
        <v>716</v>
      </c>
      <c r="D82" s="14"/>
      <c r="E82" s="1"/>
      <c r="F82" s="1"/>
      <c r="G82" s="8"/>
      <c r="H82" s="8">
        <f>'Area 4'!X36</f>
        <v>93417.624241197918</v>
      </c>
      <c r="I82" s="8">
        <f t="shared" si="2"/>
        <v>93417.624241197918</v>
      </c>
      <c r="J82" s="31">
        <f t="shared" si="3"/>
        <v>6227.8416160798615</v>
      </c>
    </row>
    <row r="83" spans="1:10">
      <c r="A83" s="14" t="s">
        <v>717</v>
      </c>
      <c r="B83" s="14" t="s">
        <v>718</v>
      </c>
      <c r="C83" s="14" t="s">
        <v>719</v>
      </c>
      <c r="D83" s="14" t="s">
        <v>720</v>
      </c>
      <c r="E83" s="1"/>
      <c r="F83" s="1"/>
      <c r="G83" s="8"/>
      <c r="H83" s="8">
        <f>'Area 4'!X37</f>
        <v>90131.313855243003</v>
      </c>
      <c r="I83" s="8">
        <f t="shared" si="2"/>
        <v>90131.313855243003</v>
      </c>
      <c r="J83" s="31">
        <f t="shared" si="3"/>
        <v>6008.7542570162004</v>
      </c>
    </row>
    <row r="84" spans="1:10">
      <c r="A84" s="14" t="s">
        <v>721</v>
      </c>
      <c r="B84" s="14" t="s">
        <v>722</v>
      </c>
      <c r="C84" s="14" t="s">
        <v>723</v>
      </c>
      <c r="D84" s="14"/>
      <c r="E84" s="1"/>
      <c r="F84" s="1"/>
      <c r="G84" s="8"/>
      <c r="H84" s="8">
        <f>'Area 4'!X38</f>
        <v>83976.491144988147</v>
      </c>
      <c r="I84" s="8">
        <f t="shared" si="2"/>
        <v>83976.491144988147</v>
      </c>
      <c r="J84" s="31">
        <f t="shared" si="3"/>
        <v>5598.4327429992099</v>
      </c>
    </row>
    <row r="85" spans="1:10">
      <c r="A85" s="14" t="s">
        <v>724</v>
      </c>
      <c r="B85" s="14" t="s">
        <v>218</v>
      </c>
      <c r="C85" s="14" t="s">
        <v>725</v>
      </c>
      <c r="D85" s="14" t="s">
        <v>698</v>
      </c>
      <c r="E85" s="1"/>
      <c r="F85" s="1"/>
      <c r="G85" s="8"/>
      <c r="H85" s="8">
        <f>'Area 4'!X39</f>
        <v>25894.287346003945</v>
      </c>
      <c r="I85" s="8">
        <f t="shared" si="2"/>
        <v>25894.287346003945</v>
      </c>
      <c r="J85" s="31">
        <f t="shared" si="3"/>
        <v>1726.2858230669297</v>
      </c>
    </row>
    <row r="86" spans="1:10">
      <c r="A86" s="7" t="s">
        <v>594</v>
      </c>
      <c r="B86" s="7" t="s">
        <v>595</v>
      </c>
      <c r="C86" s="7" t="s">
        <v>596</v>
      </c>
      <c r="D86" s="7" t="s">
        <v>597</v>
      </c>
      <c r="E86" s="1"/>
      <c r="F86" s="8">
        <f>'Area 2 -DA'!X57</f>
        <v>10</v>
      </c>
      <c r="G86" s="8"/>
      <c r="H86" s="8"/>
      <c r="I86" s="8">
        <f t="shared" si="2"/>
        <v>10</v>
      </c>
      <c r="J86" s="31">
        <f t="shared" si="3"/>
        <v>0.66666666666666663</v>
      </c>
    </row>
    <row r="87" spans="1:10">
      <c r="A87" s="7" t="s">
        <v>598</v>
      </c>
      <c r="B87" s="7" t="s">
        <v>599</v>
      </c>
      <c r="C87" s="7" t="s">
        <v>462</v>
      </c>
      <c r="D87" s="7"/>
      <c r="E87" s="1"/>
      <c r="F87" s="8">
        <f>'Area 2 -DA'!X58</f>
        <v>5349.267436917652</v>
      </c>
      <c r="G87" s="8">
        <f>'Area 3 -DA'!X38</f>
        <v>14330.03684643574</v>
      </c>
      <c r="H87" s="8"/>
      <c r="I87" s="8">
        <f t="shared" si="2"/>
        <v>19679.304283353391</v>
      </c>
      <c r="J87" s="31">
        <f t="shared" si="3"/>
        <v>1311.9536188902262</v>
      </c>
    </row>
    <row r="88" spans="1:10">
      <c r="A88" s="7" t="s">
        <v>600</v>
      </c>
      <c r="B88" s="7" t="s">
        <v>601</v>
      </c>
      <c r="C88" s="7" t="s">
        <v>602</v>
      </c>
      <c r="D88" s="7" t="s">
        <v>603</v>
      </c>
      <c r="E88" s="1"/>
      <c r="F88" s="8">
        <f>'Area 2 -DA'!X59</f>
        <v>2610.8183543053078</v>
      </c>
      <c r="G88" s="8">
        <f>'Area 3 -DA'!X39</f>
        <v>18440.903855195429</v>
      </c>
      <c r="H88" s="8"/>
      <c r="I88" s="8">
        <f t="shared" si="2"/>
        <v>21051.722209500738</v>
      </c>
      <c r="J88" s="31">
        <f t="shared" si="3"/>
        <v>1403.4481473000492</v>
      </c>
    </row>
    <row r="89" spans="1:10">
      <c r="A89" s="7" t="s">
        <v>604</v>
      </c>
      <c r="B89" s="7" t="s">
        <v>605</v>
      </c>
      <c r="C89" s="7" t="s">
        <v>606</v>
      </c>
      <c r="D89" s="7" t="s">
        <v>607</v>
      </c>
      <c r="E89" s="1"/>
      <c r="F89" s="8">
        <f>'Area 2 -DA'!X60</f>
        <v>6515.3007267166086</v>
      </c>
      <c r="G89" s="8">
        <f>'Area 3 -DA'!X40</f>
        <v>3681.5440366715256</v>
      </c>
      <c r="H89" s="8"/>
      <c r="I89" s="8">
        <f t="shared" si="2"/>
        <v>10196.844763388133</v>
      </c>
      <c r="J89" s="31">
        <f t="shared" si="3"/>
        <v>679.78965089254223</v>
      </c>
    </row>
    <row r="90" spans="1:10">
      <c r="A90" s="7" t="s">
        <v>608</v>
      </c>
      <c r="B90" s="7" t="s">
        <v>609</v>
      </c>
      <c r="C90" s="7" t="s">
        <v>610</v>
      </c>
      <c r="D90" s="7"/>
      <c r="E90" s="1"/>
      <c r="F90" s="8">
        <f>'Area 2 -DA'!X61</f>
        <v>6929.5923236738645</v>
      </c>
      <c r="G90" s="8"/>
      <c r="H90" s="8"/>
      <c r="I90" s="8">
        <f t="shared" si="2"/>
        <v>6929.5923236738645</v>
      </c>
      <c r="J90" s="31">
        <f t="shared" si="3"/>
        <v>461.97282157825765</v>
      </c>
    </row>
    <row r="91" spans="1:10">
      <c r="A91" s="7" t="s">
        <v>614</v>
      </c>
      <c r="B91" s="7" t="s">
        <v>615</v>
      </c>
      <c r="C91" s="7" t="s">
        <v>616</v>
      </c>
      <c r="D91" s="7"/>
      <c r="E91" s="1"/>
      <c r="F91" s="8">
        <f>'Area 2 -DA'!X62</f>
        <v>7928.6348653313489</v>
      </c>
      <c r="G91" s="8"/>
      <c r="H91" s="8"/>
      <c r="I91" s="8">
        <f t="shared" si="2"/>
        <v>7928.6348653313489</v>
      </c>
      <c r="J91" s="31">
        <f t="shared" si="3"/>
        <v>528.57565768875656</v>
      </c>
    </row>
    <row r="92" spans="1:10">
      <c r="A92" s="14" t="s">
        <v>727</v>
      </c>
      <c r="B92" s="14" t="s">
        <v>728</v>
      </c>
      <c r="C92" s="14" t="s">
        <v>729</v>
      </c>
      <c r="D92" s="14"/>
      <c r="E92" s="1"/>
      <c r="F92" s="1"/>
      <c r="G92" s="8"/>
      <c r="H92" s="8">
        <f>'Area 4'!X40</f>
        <v>14017.607573545887</v>
      </c>
      <c r="I92" s="8">
        <f t="shared" si="2"/>
        <v>14017.607573545887</v>
      </c>
      <c r="J92" s="31">
        <f t="shared" si="3"/>
        <v>934.50717156972576</v>
      </c>
    </row>
    <row r="93" spans="1:10">
      <c r="A93" s="14" t="s">
        <v>732</v>
      </c>
      <c r="B93" s="14" t="s">
        <v>733</v>
      </c>
      <c r="C93" s="14" t="s">
        <v>734</v>
      </c>
      <c r="D93" s="14"/>
      <c r="E93" s="1"/>
      <c r="F93" s="1"/>
      <c r="G93" s="8"/>
      <c r="H93" s="8">
        <f>'Area 4'!X41</f>
        <v>37624.163267094998</v>
      </c>
      <c r="I93" s="8">
        <f t="shared" si="2"/>
        <v>37624.163267094998</v>
      </c>
      <c r="J93" s="31">
        <f t="shared" si="3"/>
        <v>2508.2775511396667</v>
      </c>
    </row>
    <row r="94" spans="1:10">
      <c r="A94" s="9" t="s">
        <v>630</v>
      </c>
      <c r="B94" s="12" t="s">
        <v>631</v>
      </c>
      <c r="C94" s="12" t="s">
        <v>632</v>
      </c>
      <c r="D94" s="9"/>
      <c r="E94" s="1"/>
      <c r="F94" s="1"/>
      <c r="G94" s="8"/>
      <c r="H94" s="8">
        <f>'Area 4'!X3</f>
        <v>930616.86834053043</v>
      </c>
      <c r="I94" s="8">
        <f t="shared" si="2"/>
        <v>930616.86834053043</v>
      </c>
      <c r="J94" s="31">
        <f t="shared" si="3"/>
        <v>62041.124556035364</v>
      </c>
    </row>
    <row r="95" spans="1:10">
      <c r="A95" s="9" t="s">
        <v>318</v>
      </c>
      <c r="B95" s="12" t="s">
        <v>620</v>
      </c>
      <c r="C95" s="12" t="s">
        <v>320</v>
      </c>
      <c r="D95" s="9"/>
      <c r="E95" s="1"/>
      <c r="F95" s="8">
        <f>'Area 2 -DA'!X3+'Area 2 -DA'!X4</f>
        <v>131644.24985532888</v>
      </c>
      <c r="G95" s="8">
        <f>'Area 3 -DA'!X3</f>
        <v>826930.23925634194</v>
      </c>
      <c r="H95" s="8"/>
      <c r="I95" s="8">
        <f>SUM(E95:H95)</f>
        <v>958574.48911167076</v>
      </c>
      <c r="J95" s="31">
        <f t="shared" si="3"/>
        <v>63904.965940778049</v>
      </c>
    </row>
    <row r="96" spans="1:10">
      <c r="H96" s="50" t="s">
        <v>171</v>
      </c>
      <c r="I96" s="31">
        <f>SUM(I2:I95)</f>
        <v>3927393.5803732243</v>
      </c>
      <c r="J96" s="31">
        <f t="shared" si="3"/>
        <v>261826.23869154829</v>
      </c>
    </row>
    <row r="97" spans="3:3" ht="21.6">
      <c r="C97" s="52"/>
    </row>
  </sheetData>
  <pageMargins left="0.7" right="0.7" top="0.75" bottom="0.75" header="0.3" footer="0.3"/>
  <pageSetup scale="66" fitToHeight="0" orientation="landscape" r:id="rId1"/>
  <headerFooter>
    <oddHeader>&amp;L&amp;"Poppins Medium,Regular"&amp;16Parcel Assessment Summary&amp;R&amp;"Poppins Light,Regular"*The assessment values for Area 2 and 3 are pending as of April 28, 2026.
The values shown below are an estimate.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73250-5175-4DC6-8090-85A2387A4EA4}">
  <sheetPr>
    <pageSetUpPr fitToPage="1"/>
  </sheetPr>
  <dimension ref="A1:N67"/>
  <sheetViews>
    <sheetView topLeftCell="A40" workbookViewId="0">
      <selection activeCell="D38" sqref="D38"/>
    </sheetView>
  </sheetViews>
  <sheetFormatPr defaultRowHeight="14.45"/>
  <cols>
    <col min="1" max="1" width="12.42578125" bestFit="1" customWidth="1"/>
    <col min="2" max="2" width="56.7109375" bestFit="1" customWidth="1"/>
    <col min="4" max="4" width="11.28515625" bestFit="1" customWidth="1"/>
    <col min="6" max="6" width="12.28515625" bestFit="1" customWidth="1"/>
    <col min="8" max="8" width="12.28515625" bestFit="1" customWidth="1"/>
    <col min="10" max="10" width="13.85546875" bestFit="1" customWidth="1"/>
    <col min="12" max="12" width="13.85546875" bestFit="1" customWidth="1"/>
    <col min="14" max="14" width="13.85546875" bestFit="1" customWidth="1"/>
  </cols>
  <sheetData>
    <row r="1" spans="1:14">
      <c r="A1" s="1"/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</row>
    <row r="2" spans="1:14" s="3" customFormat="1">
      <c r="A2" s="73" t="s">
        <v>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</row>
    <row r="3" spans="1:14">
      <c r="A3" s="38" t="s">
        <v>29</v>
      </c>
      <c r="B3" s="1" t="s">
        <v>30</v>
      </c>
      <c r="C3" s="1" t="s">
        <v>31</v>
      </c>
      <c r="D3" s="8">
        <v>15000</v>
      </c>
      <c r="E3" s="1">
        <v>0.25</v>
      </c>
      <c r="F3" s="39">
        <f t="shared" ref="F3:F61" si="0">D3*E3</f>
        <v>3750</v>
      </c>
      <c r="G3" s="1">
        <v>0.25</v>
      </c>
      <c r="H3" s="8">
        <f>D3*G3</f>
        <v>3750</v>
      </c>
      <c r="I3" s="1">
        <v>0.25</v>
      </c>
      <c r="J3" s="8">
        <f>D3*I3</f>
        <v>3750</v>
      </c>
      <c r="K3" s="1">
        <v>0.25</v>
      </c>
      <c r="L3" s="8">
        <f>D3*K3</f>
        <v>3750</v>
      </c>
      <c r="M3" s="1">
        <f>E3+G3+I3+K3</f>
        <v>1</v>
      </c>
      <c r="N3" s="8">
        <f>D3*M3</f>
        <v>15000</v>
      </c>
    </row>
    <row r="4" spans="1:14">
      <c r="A4" s="38" t="s">
        <v>32</v>
      </c>
      <c r="B4" s="1" t="s">
        <v>33</v>
      </c>
      <c r="C4" s="1" t="s">
        <v>34</v>
      </c>
      <c r="D4" s="8">
        <v>1000</v>
      </c>
      <c r="E4" s="1">
        <v>5</v>
      </c>
      <c r="F4" s="39">
        <f t="shared" si="0"/>
        <v>5000</v>
      </c>
      <c r="G4" s="1">
        <v>1</v>
      </c>
      <c r="H4" s="8">
        <f t="shared" ref="H4:H61" si="1">D4*G4</f>
        <v>1000</v>
      </c>
      <c r="I4" s="1"/>
      <c r="J4" s="8">
        <f t="shared" ref="J4:J61" si="2">D4*I4</f>
        <v>0</v>
      </c>
      <c r="K4" s="1">
        <v>2</v>
      </c>
      <c r="L4" s="8">
        <f t="shared" ref="L4:L61" si="3">D4*K4</f>
        <v>2000</v>
      </c>
      <c r="M4" s="1">
        <f t="shared" ref="M4:M61" si="4">E4+G4+I4+K4</f>
        <v>8</v>
      </c>
      <c r="N4" s="8">
        <f t="shared" ref="N4:N61" si="5">D4*M4</f>
        <v>8000</v>
      </c>
    </row>
    <row r="5" spans="1:14">
      <c r="A5" s="38" t="s">
        <v>35</v>
      </c>
      <c r="B5" s="1" t="s">
        <v>36</v>
      </c>
      <c r="C5" s="1" t="s">
        <v>34</v>
      </c>
      <c r="D5" s="8">
        <v>2500</v>
      </c>
      <c r="E5" s="1"/>
      <c r="F5" s="39">
        <f t="shared" si="0"/>
        <v>0</v>
      </c>
      <c r="G5" s="1">
        <v>1</v>
      </c>
      <c r="H5" s="8">
        <f t="shared" si="1"/>
        <v>2500</v>
      </c>
      <c r="I5" s="1"/>
      <c r="J5" s="8">
        <f t="shared" si="2"/>
        <v>0</v>
      </c>
      <c r="K5" s="1"/>
      <c r="L5" s="8">
        <f t="shared" si="3"/>
        <v>0</v>
      </c>
      <c r="M5" s="1">
        <f t="shared" si="4"/>
        <v>1</v>
      </c>
      <c r="N5" s="8">
        <f t="shared" si="5"/>
        <v>2500</v>
      </c>
    </row>
    <row r="6" spans="1:14">
      <c r="A6" s="38" t="s">
        <v>37</v>
      </c>
      <c r="B6" s="1" t="s">
        <v>38</v>
      </c>
      <c r="C6" s="1" t="s">
        <v>28</v>
      </c>
      <c r="D6" s="8">
        <v>20</v>
      </c>
      <c r="E6" s="1"/>
      <c r="F6" s="39">
        <f t="shared" si="0"/>
        <v>0</v>
      </c>
      <c r="G6" s="1"/>
      <c r="H6" s="8">
        <f t="shared" si="1"/>
        <v>0</v>
      </c>
      <c r="I6" s="1">
        <v>2341</v>
      </c>
      <c r="J6" s="8">
        <f t="shared" si="2"/>
        <v>46820</v>
      </c>
      <c r="K6" s="1">
        <v>521</v>
      </c>
      <c r="L6" s="8">
        <f t="shared" si="3"/>
        <v>10420</v>
      </c>
      <c r="M6" s="1">
        <f t="shared" si="4"/>
        <v>2862</v>
      </c>
      <c r="N6" s="8">
        <f t="shared" si="5"/>
        <v>57240</v>
      </c>
    </row>
    <row r="7" spans="1:14">
      <c r="A7" s="38" t="s">
        <v>39</v>
      </c>
      <c r="B7" s="1" t="s">
        <v>40</v>
      </c>
      <c r="C7" s="1" t="s">
        <v>28</v>
      </c>
      <c r="D7" s="8">
        <v>30</v>
      </c>
      <c r="E7" s="1"/>
      <c r="F7" s="39">
        <f t="shared" si="0"/>
        <v>0</v>
      </c>
      <c r="G7" s="1">
        <v>104</v>
      </c>
      <c r="H7" s="8">
        <f t="shared" si="1"/>
        <v>3120</v>
      </c>
      <c r="I7" s="1"/>
      <c r="J7" s="8">
        <f t="shared" si="2"/>
        <v>0</v>
      </c>
      <c r="K7" s="1"/>
      <c r="L7" s="8">
        <f t="shared" si="3"/>
        <v>0</v>
      </c>
      <c r="M7" s="1">
        <f t="shared" si="4"/>
        <v>104</v>
      </c>
      <c r="N7" s="8">
        <f t="shared" si="5"/>
        <v>3120</v>
      </c>
    </row>
    <row r="8" spans="1:14">
      <c r="A8" s="38" t="s">
        <v>41</v>
      </c>
      <c r="B8" s="1" t="s">
        <v>42</v>
      </c>
      <c r="C8" s="1" t="s">
        <v>34</v>
      </c>
      <c r="D8" s="8">
        <v>800</v>
      </c>
      <c r="E8" s="1"/>
      <c r="F8" s="39">
        <f t="shared" si="0"/>
        <v>0</v>
      </c>
      <c r="G8" s="1"/>
      <c r="H8" s="8">
        <f t="shared" si="1"/>
        <v>0</v>
      </c>
      <c r="I8" s="1">
        <v>2</v>
      </c>
      <c r="J8" s="8">
        <f t="shared" si="2"/>
        <v>1600</v>
      </c>
      <c r="K8" s="1">
        <v>3</v>
      </c>
      <c r="L8" s="8">
        <f t="shared" si="3"/>
        <v>2400</v>
      </c>
      <c r="M8" s="1">
        <f t="shared" si="4"/>
        <v>5</v>
      </c>
      <c r="N8" s="8">
        <f t="shared" si="5"/>
        <v>4000</v>
      </c>
    </row>
    <row r="9" spans="1:14">
      <c r="A9" s="38" t="s">
        <v>43</v>
      </c>
      <c r="B9" s="1" t="s">
        <v>44</v>
      </c>
      <c r="C9" s="1" t="s">
        <v>28</v>
      </c>
      <c r="D9" s="8">
        <v>25</v>
      </c>
      <c r="E9" s="1">
        <v>120</v>
      </c>
      <c r="F9" s="39">
        <f t="shared" si="0"/>
        <v>3000</v>
      </c>
      <c r="G9" s="1"/>
      <c r="H9" s="8">
        <f t="shared" si="1"/>
        <v>0</v>
      </c>
      <c r="I9" s="1">
        <v>10</v>
      </c>
      <c r="J9" s="8">
        <f t="shared" si="2"/>
        <v>250</v>
      </c>
      <c r="K9" s="1">
        <v>214</v>
      </c>
      <c r="L9" s="8">
        <f t="shared" si="3"/>
        <v>5350</v>
      </c>
      <c r="M9" s="1">
        <f t="shared" si="4"/>
        <v>344</v>
      </c>
      <c r="N9" s="8">
        <f t="shared" si="5"/>
        <v>8600</v>
      </c>
    </row>
    <row r="10" spans="1:14">
      <c r="A10" s="38" t="s">
        <v>45</v>
      </c>
      <c r="B10" s="1" t="s">
        <v>46</v>
      </c>
      <c r="C10" s="1" t="s">
        <v>47</v>
      </c>
      <c r="D10" s="8">
        <v>15</v>
      </c>
      <c r="E10" s="1"/>
      <c r="F10" s="39">
        <f t="shared" si="0"/>
        <v>0</v>
      </c>
      <c r="G10" s="1">
        <v>255</v>
      </c>
      <c r="H10" s="8">
        <f t="shared" si="1"/>
        <v>3825</v>
      </c>
      <c r="I10" s="1">
        <v>451</v>
      </c>
      <c r="J10" s="8">
        <f t="shared" si="2"/>
        <v>6765</v>
      </c>
      <c r="K10" s="1">
        <v>5000</v>
      </c>
      <c r="L10" s="8">
        <f t="shared" si="3"/>
        <v>75000</v>
      </c>
      <c r="M10" s="1">
        <f t="shared" si="4"/>
        <v>5706</v>
      </c>
      <c r="N10" s="8">
        <f t="shared" si="5"/>
        <v>85590</v>
      </c>
    </row>
    <row r="11" spans="1:14">
      <c r="A11" s="38" t="s">
        <v>45</v>
      </c>
      <c r="B11" s="1" t="s">
        <v>48</v>
      </c>
      <c r="C11" s="1" t="s">
        <v>47</v>
      </c>
      <c r="D11" s="8">
        <v>9</v>
      </c>
      <c r="E11" s="1">
        <v>100</v>
      </c>
      <c r="F11" s="39">
        <f t="shared" si="0"/>
        <v>900</v>
      </c>
      <c r="G11" s="1">
        <v>200</v>
      </c>
      <c r="H11" s="8">
        <f t="shared" si="1"/>
        <v>1800</v>
      </c>
      <c r="I11" s="1">
        <v>200</v>
      </c>
      <c r="J11" s="8">
        <f t="shared" si="2"/>
        <v>1800</v>
      </c>
      <c r="K11" s="1">
        <v>200</v>
      </c>
      <c r="L11" s="8">
        <f t="shared" si="3"/>
        <v>1800</v>
      </c>
      <c r="M11" s="1">
        <f t="shared" si="4"/>
        <v>700</v>
      </c>
      <c r="N11" s="8">
        <f t="shared" si="5"/>
        <v>6300</v>
      </c>
    </row>
    <row r="12" spans="1:14">
      <c r="A12" s="38" t="s">
        <v>49</v>
      </c>
      <c r="B12" s="1" t="s">
        <v>50</v>
      </c>
      <c r="C12" s="1" t="s">
        <v>47</v>
      </c>
      <c r="D12" s="8">
        <v>9</v>
      </c>
      <c r="E12" s="1">
        <v>50</v>
      </c>
      <c r="F12" s="39">
        <f t="shared" si="0"/>
        <v>450</v>
      </c>
      <c r="G12" s="1">
        <v>100</v>
      </c>
      <c r="H12" s="8">
        <f t="shared" si="1"/>
        <v>900</v>
      </c>
      <c r="I12" s="1">
        <v>100</v>
      </c>
      <c r="J12" s="8">
        <f t="shared" si="2"/>
        <v>900</v>
      </c>
      <c r="K12" s="1">
        <v>100</v>
      </c>
      <c r="L12" s="8">
        <f t="shared" si="3"/>
        <v>900</v>
      </c>
      <c r="M12" s="1">
        <f t="shared" si="4"/>
        <v>350</v>
      </c>
      <c r="N12" s="8">
        <f t="shared" si="5"/>
        <v>3150</v>
      </c>
    </row>
    <row r="13" spans="1:14">
      <c r="A13" s="38" t="s">
        <v>51</v>
      </c>
      <c r="B13" s="1" t="s">
        <v>52</v>
      </c>
      <c r="C13" s="1" t="s">
        <v>47</v>
      </c>
      <c r="D13" s="8">
        <v>9</v>
      </c>
      <c r="E13" s="1">
        <v>50</v>
      </c>
      <c r="F13" s="39">
        <f t="shared" si="0"/>
        <v>450</v>
      </c>
      <c r="G13" s="1">
        <v>50</v>
      </c>
      <c r="H13" s="8">
        <f t="shared" si="1"/>
        <v>450</v>
      </c>
      <c r="I13" s="1">
        <v>50</v>
      </c>
      <c r="J13" s="8">
        <f t="shared" si="2"/>
        <v>450</v>
      </c>
      <c r="K13" s="1">
        <v>50</v>
      </c>
      <c r="L13" s="8">
        <f t="shared" si="3"/>
        <v>450</v>
      </c>
      <c r="M13" s="1">
        <f t="shared" si="4"/>
        <v>200</v>
      </c>
      <c r="N13" s="8">
        <f t="shared" si="5"/>
        <v>1800</v>
      </c>
    </row>
    <row r="14" spans="1:14">
      <c r="A14" s="38" t="s">
        <v>51</v>
      </c>
      <c r="B14" s="1" t="s">
        <v>53</v>
      </c>
      <c r="C14" s="1" t="s">
        <v>47</v>
      </c>
      <c r="D14" s="8">
        <v>9</v>
      </c>
      <c r="E14" s="1">
        <v>50</v>
      </c>
      <c r="F14" s="39">
        <f t="shared" si="0"/>
        <v>450</v>
      </c>
      <c r="G14" s="1">
        <v>50</v>
      </c>
      <c r="H14" s="8">
        <f t="shared" si="1"/>
        <v>450</v>
      </c>
      <c r="I14" s="1">
        <v>50</v>
      </c>
      <c r="J14" s="8">
        <f t="shared" si="2"/>
        <v>450</v>
      </c>
      <c r="K14" s="1">
        <v>50</v>
      </c>
      <c r="L14" s="8">
        <f t="shared" si="3"/>
        <v>450</v>
      </c>
      <c r="M14" s="1">
        <f t="shared" si="4"/>
        <v>200</v>
      </c>
      <c r="N14" s="8">
        <f t="shared" si="5"/>
        <v>1800</v>
      </c>
    </row>
    <row r="15" spans="1:14">
      <c r="A15" s="38" t="s">
        <v>54</v>
      </c>
      <c r="B15" s="1" t="s">
        <v>55</v>
      </c>
      <c r="C15" s="1" t="s">
        <v>47</v>
      </c>
      <c r="D15" s="8">
        <v>50</v>
      </c>
      <c r="E15" s="1"/>
      <c r="F15" s="39">
        <f t="shared" si="0"/>
        <v>0</v>
      </c>
      <c r="G15" s="1">
        <v>180</v>
      </c>
      <c r="H15" s="8">
        <f t="shared" si="1"/>
        <v>9000</v>
      </c>
      <c r="I15" s="1">
        <v>289</v>
      </c>
      <c r="J15" s="8">
        <f t="shared" si="2"/>
        <v>14450</v>
      </c>
      <c r="K15" s="1">
        <v>1064</v>
      </c>
      <c r="L15" s="8">
        <f t="shared" si="3"/>
        <v>53200</v>
      </c>
      <c r="M15" s="1">
        <f t="shared" si="4"/>
        <v>1533</v>
      </c>
      <c r="N15" s="8">
        <f t="shared" si="5"/>
        <v>76650</v>
      </c>
    </row>
    <row r="16" spans="1:14">
      <c r="A16" s="38" t="s">
        <v>56</v>
      </c>
      <c r="B16" s="1" t="s">
        <v>57</v>
      </c>
      <c r="C16" s="1" t="s">
        <v>28</v>
      </c>
      <c r="D16" s="8">
        <v>100</v>
      </c>
      <c r="E16" s="1"/>
      <c r="F16" s="39">
        <f t="shared" si="0"/>
        <v>0</v>
      </c>
      <c r="G16" s="1">
        <v>12.5</v>
      </c>
      <c r="H16" s="8">
        <f t="shared" si="1"/>
        <v>1250</v>
      </c>
      <c r="I16" s="1"/>
      <c r="J16" s="8">
        <f t="shared" si="2"/>
        <v>0</v>
      </c>
      <c r="K16" s="1"/>
      <c r="L16" s="8">
        <f t="shared" si="3"/>
        <v>0</v>
      </c>
      <c r="M16" s="1">
        <f t="shared" si="4"/>
        <v>12.5</v>
      </c>
      <c r="N16" s="8">
        <f t="shared" si="5"/>
        <v>1250</v>
      </c>
    </row>
    <row r="17" spans="1:14">
      <c r="A17" s="38" t="s">
        <v>58</v>
      </c>
      <c r="B17" s="1" t="s">
        <v>59</v>
      </c>
      <c r="C17" s="1" t="s">
        <v>34</v>
      </c>
      <c r="D17" s="8">
        <v>210</v>
      </c>
      <c r="E17" s="1"/>
      <c r="F17" s="39">
        <f t="shared" si="0"/>
        <v>0</v>
      </c>
      <c r="G17" s="1"/>
      <c r="H17" s="8">
        <f t="shared" si="1"/>
        <v>0</v>
      </c>
      <c r="I17" s="1">
        <v>10</v>
      </c>
      <c r="J17" s="8">
        <f t="shared" si="2"/>
        <v>2100</v>
      </c>
      <c r="K17" s="1">
        <v>8</v>
      </c>
      <c r="L17" s="8">
        <f t="shared" si="3"/>
        <v>1680</v>
      </c>
      <c r="M17" s="1">
        <f t="shared" si="4"/>
        <v>18</v>
      </c>
      <c r="N17" s="8">
        <f t="shared" si="5"/>
        <v>3780</v>
      </c>
    </row>
    <row r="18" spans="1:14">
      <c r="A18" s="38" t="s">
        <v>60</v>
      </c>
      <c r="B18" s="1" t="s">
        <v>61</v>
      </c>
      <c r="C18" s="1" t="s">
        <v>34</v>
      </c>
      <c r="D18" s="8">
        <v>5000</v>
      </c>
      <c r="E18" s="1"/>
      <c r="F18" s="39">
        <f t="shared" si="0"/>
        <v>0</v>
      </c>
      <c r="G18" s="1"/>
      <c r="H18" s="8">
        <f t="shared" si="1"/>
        <v>0</v>
      </c>
      <c r="I18" s="1">
        <v>11</v>
      </c>
      <c r="J18" s="8">
        <f t="shared" si="2"/>
        <v>55000</v>
      </c>
      <c r="K18" s="1"/>
      <c r="L18" s="8">
        <f t="shared" si="3"/>
        <v>0</v>
      </c>
      <c r="M18" s="1">
        <f t="shared" si="4"/>
        <v>11</v>
      </c>
      <c r="N18" s="8">
        <f t="shared" si="5"/>
        <v>55000</v>
      </c>
    </row>
    <row r="19" spans="1:14">
      <c r="A19" s="38" t="s">
        <v>60</v>
      </c>
      <c r="B19" s="1" t="s">
        <v>62</v>
      </c>
      <c r="C19" s="1" t="s">
        <v>34</v>
      </c>
      <c r="D19" s="8">
        <v>800</v>
      </c>
      <c r="E19" s="1"/>
      <c r="F19" s="39">
        <f t="shared" si="0"/>
        <v>0</v>
      </c>
      <c r="G19" s="1">
        <v>2</v>
      </c>
      <c r="H19" s="8">
        <f t="shared" si="1"/>
        <v>1600</v>
      </c>
      <c r="I19" s="1">
        <v>2</v>
      </c>
      <c r="J19" s="8">
        <f t="shared" si="2"/>
        <v>1600</v>
      </c>
      <c r="K19" s="1">
        <v>2</v>
      </c>
      <c r="L19" s="8">
        <f t="shared" si="3"/>
        <v>1600</v>
      </c>
      <c r="M19" s="1">
        <f t="shared" si="4"/>
        <v>6</v>
      </c>
      <c r="N19" s="8">
        <f t="shared" si="5"/>
        <v>4800</v>
      </c>
    </row>
    <row r="20" spans="1:14">
      <c r="A20" s="76" t="s">
        <v>63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8"/>
    </row>
    <row r="21" spans="1:14">
      <c r="A21" s="38" t="s">
        <v>64</v>
      </c>
      <c r="B21" s="1" t="s">
        <v>65</v>
      </c>
      <c r="C21" s="1" t="s">
        <v>66</v>
      </c>
      <c r="D21" s="8">
        <v>200</v>
      </c>
      <c r="E21" s="1"/>
      <c r="F21" s="39">
        <f t="shared" si="0"/>
        <v>0</v>
      </c>
      <c r="G21" s="1"/>
      <c r="H21" s="8">
        <f t="shared" si="1"/>
        <v>0</v>
      </c>
      <c r="I21" s="1"/>
      <c r="J21" s="8">
        <f t="shared" si="2"/>
        <v>0</v>
      </c>
      <c r="K21" s="1">
        <v>9</v>
      </c>
      <c r="L21" s="8">
        <f t="shared" si="3"/>
        <v>1800</v>
      </c>
      <c r="M21" s="1">
        <f t="shared" si="4"/>
        <v>9</v>
      </c>
      <c r="N21" s="8">
        <f t="shared" si="5"/>
        <v>1800</v>
      </c>
    </row>
    <row r="22" spans="1:14">
      <c r="A22" s="38" t="s">
        <v>67</v>
      </c>
      <c r="B22" s="1" t="s">
        <v>68</v>
      </c>
      <c r="C22" s="1" t="s">
        <v>47</v>
      </c>
      <c r="D22" s="8">
        <v>200</v>
      </c>
      <c r="E22" s="1">
        <v>1</v>
      </c>
      <c r="F22" s="39">
        <f t="shared" si="0"/>
        <v>200</v>
      </c>
      <c r="G22" s="1">
        <v>2</v>
      </c>
      <c r="H22" s="8">
        <f t="shared" si="1"/>
        <v>400</v>
      </c>
      <c r="I22" s="1">
        <v>2</v>
      </c>
      <c r="J22" s="8">
        <f t="shared" si="2"/>
        <v>400</v>
      </c>
      <c r="K22" s="1">
        <v>1</v>
      </c>
      <c r="L22" s="8">
        <f t="shared" si="3"/>
        <v>200</v>
      </c>
      <c r="M22" s="1">
        <f t="shared" si="4"/>
        <v>6</v>
      </c>
      <c r="N22" s="8">
        <f t="shared" si="5"/>
        <v>1200</v>
      </c>
    </row>
    <row r="23" spans="1:14">
      <c r="A23" s="38" t="s">
        <v>69</v>
      </c>
      <c r="B23" s="1" t="s">
        <v>70</v>
      </c>
      <c r="C23" s="1" t="s">
        <v>66</v>
      </c>
      <c r="D23" s="8">
        <v>2</v>
      </c>
      <c r="E23" s="1">
        <v>481</v>
      </c>
      <c r="F23" s="39">
        <f t="shared" si="0"/>
        <v>962</v>
      </c>
      <c r="G23" s="1">
        <v>1126</v>
      </c>
      <c r="H23" s="8">
        <f t="shared" si="1"/>
        <v>2252</v>
      </c>
      <c r="I23" s="1">
        <v>3350</v>
      </c>
      <c r="J23" s="8">
        <f t="shared" si="2"/>
        <v>6700</v>
      </c>
      <c r="K23" s="1">
        <v>11735</v>
      </c>
      <c r="L23" s="8">
        <f t="shared" si="3"/>
        <v>23470</v>
      </c>
      <c r="M23" s="1">
        <f t="shared" si="4"/>
        <v>16692</v>
      </c>
      <c r="N23" s="8">
        <f t="shared" si="5"/>
        <v>33384</v>
      </c>
    </row>
    <row r="24" spans="1:14">
      <c r="A24" s="38" t="s">
        <v>71</v>
      </c>
      <c r="B24" s="1" t="s">
        <v>72</v>
      </c>
      <c r="C24" s="1" t="s">
        <v>73</v>
      </c>
      <c r="D24" s="8">
        <v>10</v>
      </c>
      <c r="E24" s="1">
        <v>3</v>
      </c>
      <c r="F24" s="39">
        <f t="shared" si="0"/>
        <v>30</v>
      </c>
      <c r="G24" s="1">
        <v>6</v>
      </c>
      <c r="H24" s="8">
        <f t="shared" si="1"/>
        <v>60</v>
      </c>
      <c r="I24" s="1">
        <v>17</v>
      </c>
      <c r="J24" s="8">
        <f t="shared" si="2"/>
        <v>170</v>
      </c>
      <c r="K24" s="1">
        <v>63</v>
      </c>
      <c r="L24" s="8">
        <f t="shared" si="3"/>
        <v>630</v>
      </c>
      <c r="M24" s="1">
        <f t="shared" si="4"/>
        <v>89</v>
      </c>
      <c r="N24" s="8">
        <f t="shared" si="5"/>
        <v>890</v>
      </c>
    </row>
    <row r="25" spans="1:14">
      <c r="A25" s="38" t="s">
        <v>74</v>
      </c>
      <c r="B25" s="1" t="s">
        <v>63</v>
      </c>
      <c r="C25" s="1" t="s">
        <v>34</v>
      </c>
      <c r="D25" s="8">
        <v>1</v>
      </c>
      <c r="E25" s="1">
        <v>2000</v>
      </c>
      <c r="F25" s="39">
        <f t="shared" si="0"/>
        <v>2000</v>
      </c>
      <c r="G25" s="1">
        <v>5000</v>
      </c>
      <c r="H25" s="8">
        <f t="shared" si="1"/>
        <v>5000</v>
      </c>
      <c r="I25" s="1">
        <v>5000</v>
      </c>
      <c r="J25" s="8">
        <f t="shared" si="2"/>
        <v>5000</v>
      </c>
      <c r="K25" s="1">
        <v>5000</v>
      </c>
      <c r="L25" s="8">
        <f t="shared" si="3"/>
        <v>5000</v>
      </c>
      <c r="M25" s="1">
        <f t="shared" si="4"/>
        <v>17000</v>
      </c>
      <c r="N25" s="8">
        <f t="shared" si="5"/>
        <v>17000</v>
      </c>
    </row>
    <row r="26" spans="1:14">
      <c r="A26" s="38" t="s">
        <v>60</v>
      </c>
      <c r="B26" s="1" t="s">
        <v>75</v>
      </c>
      <c r="C26" s="1" t="s">
        <v>31</v>
      </c>
      <c r="D26" s="8">
        <v>15000</v>
      </c>
      <c r="E26" s="1">
        <v>0.25</v>
      </c>
      <c r="F26" s="1">
        <f t="shared" si="0"/>
        <v>3750</v>
      </c>
      <c r="G26" s="1">
        <v>0.25</v>
      </c>
      <c r="H26" s="1">
        <f t="shared" si="1"/>
        <v>3750</v>
      </c>
      <c r="I26" s="1">
        <v>0.25</v>
      </c>
      <c r="J26" s="1">
        <f t="shared" si="2"/>
        <v>3750</v>
      </c>
      <c r="K26" s="1">
        <v>0.25</v>
      </c>
      <c r="L26" s="1">
        <f t="shared" si="3"/>
        <v>3750</v>
      </c>
      <c r="M26" s="1">
        <f t="shared" si="4"/>
        <v>1</v>
      </c>
      <c r="N26" s="1">
        <f t="shared" si="5"/>
        <v>15000</v>
      </c>
    </row>
    <row r="27" spans="1:14">
      <c r="A27" s="76" t="s">
        <v>76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</row>
    <row r="28" spans="1:14">
      <c r="A28" s="38" t="s">
        <v>77</v>
      </c>
      <c r="B28" s="1" t="s">
        <v>78</v>
      </c>
      <c r="C28" s="1" t="s">
        <v>47</v>
      </c>
      <c r="D28" s="8">
        <v>3500</v>
      </c>
      <c r="E28" s="1">
        <v>0.21</v>
      </c>
      <c r="F28" s="39">
        <f t="shared" si="0"/>
        <v>735</v>
      </c>
      <c r="G28" s="1">
        <v>0.46</v>
      </c>
      <c r="H28" s="8">
        <f t="shared" si="1"/>
        <v>1610</v>
      </c>
      <c r="I28" s="1">
        <v>0.6</v>
      </c>
      <c r="J28" s="8">
        <f t="shared" si="2"/>
        <v>2100</v>
      </c>
      <c r="K28" s="1">
        <v>1.0900000000000001</v>
      </c>
      <c r="L28" s="8">
        <f t="shared" si="3"/>
        <v>3815.0000000000005</v>
      </c>
      <c r="M28" s="1">
        <f t="shared" si="4"/>
        <v>2.3600000000000003</v>
      </c>
      <c r="N28" s="8">
        <f t="shared" si="5"/>
        <v>8260.0000000000018</v>
      </c>
    </row>
    <row r="29" spans="1:14">
      <c r="A29" s="38"/>
      <c r="B29" s="1" t="s">
        <v>79</v>
      </c>
      <c r="C29" s="1" t="s">
        <v>28</v>
      </c>
      <c r="D29" s="8">
        <v>120</v>
      </c>
      <c r="E29" s="1"/>
      <c r="F29" s="39">
        <f t="shared" si="0"/>
        <v>0</v>
      </c>
      <c r="G29" s="1"/>
      <c r="H29" s="8">
        <f t="shared" si="1"/>
        <v>0</v>
      </c>
      <c r="I29" s="1"/>
      <c r="J29" s="8">
        <f t="shared" si="2"/>
        <v>0</v>
      </c>
      <c r="K29" s="1">
        <v>116</v>
      </c>
      <c r="L29" s="8">
        <f t="shared" si="3"/>
        <v>13920</v>
      </c>
      <c r="M29" s="1">
        <f t="shared" si="4"/>
        <v>116</v>
      </c>
      <c r="N29" s="8">
        <f t="shared" si="5"/>
        <v>13920</v>
      </c>
    </row>
    <row r="30" spans="1:14">
      <c r="A30" s="38" t="s">
        <v>80</v>
      </c>
      <c r="B30" s="1" t="s">
        <v>81</v>
      </c>
      <c r="C30" s="1" t="s">
        <v>28</v>
      </c>
      <c r="D30" s="8">
        <v>100</v>
      </c>
      <c r="E30" s="1"/>
      <c r="F30" s="39">
        <f t="shared" si="0"/>
        <v>0</v>
      </c>
      <c r="G30" s="1"/>
      <c r="H30" s="8">
        <f t="shared" si="1"/>
        <v>0</v>
      </c>
      <c r="I30" s="1">
        <v>1700</v>
      </c>
      <c r="J30" s="8">
        <f t="shared" si="2"/>
        <v>170000</v>
      </c>
      <c r="K30" s="1"/>
      <c r="L30" s="8">
        <f t="shared" si="3"/>
        <v>0</v>
      </c>
      <c r="M30" s="1">
        <f t="shared" si="4"/>
        <v>1700</v>
      </c>
      <c r="N30" s="8">
        <f t="shared" si="5"/>
        <v>170000</v>
      </c>
    </row>
    <row r="31" spans="1:14">
      <c r="A31" s="38" t="s">
        <v>80</v>
      </c>
      <c r="B31" s="1" t="s">
        <v>82</v>
      </c>
      <c r="C31" s="1" t="s">
        <v>28</v>
      </c>
      <c r="D31" s="8">
        <v>100</v>
      </c>
      <c r="E31" s="1">
        <v>801</v>
      </c>
      <c r="F31" s="39">
        <f t="shared" si="0"/>
        <v>80100</v>
      </c>
      <c r="G31" s="1">
        <v>0</v>
      </c>
      <c r="H31" s="8">
        <f t="shared" si="1"/>
        <v>0</v>
      </c>
      <c r="I31" s="1">
        <v>264</v>
      </c>
      <c r="J31" s="8">
        <f t="shared" si="2"/>
        <v>26400</v>
      </c>
      <c r="K31" s="1">
        <v>1451</v>
      </c>
      <c r="L31" s="8">
        <f t="shared" si="3"/>
        <v>145100</v>
      </c>
      <c r="M31" s="1">
        <f t="shared" si="4"/>
        <v>2516</v>
      </c>
      <c r="N31" s="8">
        <f t="shared" si="5"/>
        <v>251600</v>
      </c>
    </row>
    <row r="32" spans="1:14">
      <c r="A32" s="38" t="s">
        <v>80</v>
      </c>
      <c r="B32" s="1" t="s">
        <v>83</v>
      </c>
      <c r="C32" s="1" t="s">
        <v>28</v>
      </c>
      <c r="D32" s="8">
        <v>100</v>
      </c>
      <c r="E32" s="1">
        <v>58</v>
      </c>
      <c r="F32" s="39">
        <f t="shared" si="0"/>
        <v>5800</v>
      </c>
      <c r="G32" s="1">
        <v>789</v>
      </c>
      <c r="H32" s="8">
        <f t="shared" si="1"/>
        <v>78900</v>
      </c>
      <c r="I32" s="1"/>
      <c r="J32" s="8">
        <f t="shared" si="2"/>
        <v>0</v>
      </c>
      <c r="K32" s="1"/>
      <c r="L32" s="8">
        <f t="shared" si="3"/>
        <v>0</v>
      </c>
      <c r="M32" s="1">
        <f t="shared" si="4"/>
        <v>847</v>
      </c>
      <c r="N32" s="8">
        <f t="shared" si="5"/>
        <v>84700</v>
      </c>
    </row>
    <row r="33" spans="1:14">
      <c r="A33" s="38" t="s">
        <v>84</v>
      </c>
      <c r="B33" s="1" t="s">
        <v>85</v>
      </c>
      <c r="C33" s="1" t="s">
        <v>28</v>
      </c>
      <c r="D33" s="8">
        <v>120</v>
      </c>
      <c r="E33" s="1"/>
      <c r="F33" s="39">
        <f t="shared" si="0"/>
        <v>0</v>
      </c>
      <c r="G33" s="1"/>
      <c r="H33" s="8">
        <f t="shared" si="1"/>
        <v>0</v>
      </c>
      <c r="I33" s="1"/>
      <c r="J33" s="8">
        <f t="shared" si="2"/>
        <v>0</v>
      </c>
      <c r="K33" s="1">
        <v>1392</v>
      </c>
      <c r="L33" s="8">
        <f t="shared" si="3"/>
        <v>167040</v>
      </c>
      <c r="M33" s="1">
        <f t="shared" si="4"/>
        <v>1392</v>
      </c>
      <c r="N33" s="8">
        <f t="shared" si="5"/>
        <v>167040</v>
      </c>
    </row>
    <row r="34" spans="1:14">
      <c r="A34" s="38" t="s">
        <v>84</v>
      </c>
      <c r="B34" s="1" t="s">
        <v>86</v>
      </c>
      <c r="C34" s="1" t="s">
        <v>28</v>
      </c>
      <c r="D34" s="8">
        <v>150</v>
      </c>
      <c r="E34" s="1"/>
      <c r="F34" s="39">
        <f t="shared" si="0"/>
        <v>0</v>
      </c>
      <c r="G34" s="1"/>
      <c r="H34" s="8">
        <f t="shared" si="1"/>
        <v>0</v>
      </c>
      <c r="I34" s="1"/>
      <c r="J34" s="8">
        <f t="shared" si="2"/>
        <v>0</v>
      </c>
      <c r="K34" s="1"/>
      <c r="L34" s="8">
        <f t="shared" si="3"/>
        <v>0</v>
      </c>
      <c r="M34" s="1">
        <f t="shared" si="4"/>
        <v>0</v>
      </c>
      <c r="N34" s="8">
        <f t="shared" si="5"/>
        <v>0</v>
      </c>
    </row>
    <row r="35" spans="1:14">
      <c r="A35" s="38" t="s">
        <v>87</v>
      </c>
      <c r="B35" s="1" t="s">
        <v>88</v>
      </c>
      <c r="C35" s="1" t="s">
        <v>28</v>
      </c>
      <c r="D35" s="8">
        <v>120</v>
      </c>
      <c r="E35" s="1"/>
      <c r="F35" s="39">
        <f t="shared" si="0"/>
        <v>0</v>
      </c>
      <c r="G35" s="1"/>
      <c r="H35" s="8">
        <f t="shared" si="1"/>
        <v>0</v>
      </c>
      <c r="I35" s="1"/>
      <c r="J35" s="8">
        <f t="shared" si="2"/>
        <v>0</v>
      </c>
      <c r="K35" s="1">
        <v>1809</v>
      </c>
      <c r="L35" s="8">
        <f t="shared" si="3"/>
        <v>217080</v>
      </c>
      <c r="M35" s="1">
        <f t="shared" si="4"/>
        <v>1809</v>
      </c>
      <c r="N35" s="8">
        <f t="shared" si="5"/>
        <v>217080</v>
      </c>
    </row>
    <row r="36" spans="1:14">
      <c r="A36" s="38" t="s">
        <v>87</v>
      </c>
      <c r="B36" s="1" t="s">
        <v>89</v>
      </c>
      <c r="C36" s="1" t="s">
        <v>28</v>
      </c>
      <c r="D36" s="8">
        <v>150</v>
      </c>
      <c r="E36" s="1"/>
      <c r="F36" s="39">
        <f t="shared" si="0"/>
        <v>0</v>
      </c>
      <c r="G36" s="1">
        <v>133</v>
      </c>
      <c r="H36" s="8">
        <f t="shared" si="1"/>
        <v>19950</v>
      </c>
      <c r="I36" s="1"/>
      <c r="J36" s="8">
        <f t="shared" si="2"/>
        <v>0</v>
      </c>
      <c r="K36" s="1"/>
      <c r="L36" s="8">
        <f t="shared" si="3"/>
        <v>0</v>
      </c>
      <c r="M36" s="1">
        <f t="shared" si="4"/>
        <v>133</v>
      </c>
      <c r="N36" s="8">
        <f t="shared" si="5"/>
        <v>19950</v>
      </c>
    </row>
    <row r="37" spans="1:14">
      <c r="A37" s="38" t="s">
        <v>90</v>
      </c>
      <c r="B37" s="1" t="s">
        <v>91</v>
      </c>
      <c r="C37" s="1" t="s">
        <v>28</v>
      </c>
      <c r="D37" s="8">
        <v>150</v>
      </c>
      <c r="E37" s="1"/>
      <c r="F37" s="39">
        <f t="shared" si="0"/>
        <v>0</v>
      </c>
      <c r="G37" s="1">
        <v>62</v>
      </c>
      <c r="H37" s="8">
        <f t="shared" si="1"/>
        <v>9300</v>
      </c>
      <c r="I37" s="1"/>
      <c r="J37" s="8">
        <f t="shared" si="2"/>
        <v>0</v>
      </c>
      <c r="K37" s="1">
        <v>967</v>
      </c>
      <c r="L37" s="8">
        <f t="shared" si="3"/>
        <v>145050</v>
      </c>
      <c r="M37" s="1">
        <f t="shared" si="4"/>
        <v>1029</v>
      </c>
      <c r="N37" s="8">
        <f t="shared" si="5"/>
        <v>154350</v>
      </c>
    </row>
    <row r="38" spans="1:14">
      <c r="A38" s="38" t="s">
        <v>92</v>
      </c>
      <c r="B38" s="1" t="s">
        <v>93</v>
      </c>
      <c r="C38" s="1" t="s">
        <v>28</v>
      </c>
      <c r="D38" s="8">
        <v>150</v>
      </c>
      <c r="E38" s="1"/>
      <c r="F38" s="39">
        <f t="shared" si="0"/>
        <v>0</v>
      </c>
      <c r="G38" s="1"/>
      <c r="H38" s="8">
        <f t="shared" si="1"/>
        <v>0</v>
      </c>
      <c r="I38" s="1"/>
      <c r="J38" s="8">
        <f t="shared" si="2"/>
        <v>0</v>
      </c>
      <c r="K38" s="1">
        <v>1180</v>
      </c>
      <c r="L38" s="8">
        <f t="shared" si="3"/>
        <v>177000</v>
      </c>
      <c r="M38" s="1">
        <f t="shared" si="4"/>
        <v>1180</v>
      </c>
      <c r="N38" s="8">
        <f t="shared" si="5"/>
        <v>177000</v>
      </c>
    </row>
    <row r="39" spans="1:14">
      <c r="A39" s="38" t="s">
        <v>92</v>
      </c>
      <c r="B39" s="1" t="s">
        <v>94</v>
      </c>
      <c r="C39" s="1" t="s">
        <v>28</v>
      </c>
      <c r="D39" s="8">
        <v>175</v>
      </c>
      <c r="E39" s="1"/>
      <c r="F39" s="39">
        <f t="shared" si="0"/>
        <v>0</v>
      </c>
      <c r="G39" s="1"/>
      <c r="H39" s="8">
        <f t="shared" si="1"/>
        <v>0</v>
      </c>
      <c r="I39" s="1"/>
      <c r="J39" s="8">
        <f t="shared" si="2"/>
        <v>0</v>
      </c>
      <c r="K39" s="1"/>
      <c r="L39" s="8">
        <f t="shared" si="3"/>
        <v>0</v>
      </c>
      <c r="M39" s="1">
        <f t="shared" si="4"/>
        <v>0</v>
      </c>
      <c r="N39" s="8">
        <f t="shared" si="5"/>
        <v>0</v>
      </c>
    </row>
    <row r="40" spans="1:14">
      <c r="A40" s="38" t="s">
        <v>95</v>
      </c>
      <c r="B40" s="1" t="s">
        <v>96</v>
      </c>
      <c r="C40" s="1" t="s">
        <v>28</v>
      </c>
      <c r="D40" s="8">
        <v>210</v>
      </c>
      <c r="E40" s="1"/>
      <c r="F40" s="39">
        <f t="shared" si="0"/>
        <v>0</v>
      </c>
      <c r="G40" s="1"/>
      <c r="H40" s="8">
        <f t="shared" si="1"/>
        <v>0</v>
      </c>
      <c r="I40" s="1">
        <v>2519</v>
      </c>
      <c r="J40" s="8">
        <f t="shared" si="2"/>
        <v>528990</v>
      </c>
      <c r="K40" s="1"/>
      <c r="L40" s="8">
        <f t="shared" si="3"/>
        <v>0</v>
      </c>
      <c r="M40" s="1">
        <f t="shared" si="4"/>
        <v>2519</v>
      </c>
      <c r="N40" s="8">
        <f t="shared" si="5"/>
        <v>528990</v>
      </c>
    </row>
    <row r="41" spans="1:14">
      <c r="A41" s="38" t="s">
        <v>97</v>
      </c>
      <c r="B41" s="1" t="s">
        <v>98</v>
      </c>
      <c r="C41" s="1" t="s">
        <v>28</v>
      </c>
      <c r="D41" s="8">
        <v>185</v>
      </c>
      <c r="E41" s="1"/>
      <c r="F41" s="39">
        <f t="shared" si="0"/>
        <v>0</v>
      </c>
      <c r="G41" s="1"/>
      <c r="H41" s="8">
        <f t="shared" si="1"/>
        <v>0</v>
      </c>
      <c r="I41" s="1">
        <v>34</v>
      </c>
      <c r="J41" s="8">
        <f t="shared" si="2"/>
        <v>6290</v>
      </c>
      <c r="K41" s="1"/>
      <c r="L41" s="8">
        <f t="shared" si="3"/>
        <v>0</v>
      </c>
      <c r="M41" s="1">
        <f t="shared" si="4"/>
        <v>34</v>
      </c>
      <c r="N41" s="8">
        <f t="shared" si="5"/>
        <v>6290</v>
      </c>
    </row>
    <row r="42" spans="1:14">
      <c r="A42" s="38" t="s">
        <v>99</v>
      </c>
      <c r="B42" s="1" t="s">
        <v>100</v>
      </c>
      <c r="C42" s="1" t="s">
        <v>28</v>
      </c>
      <c r="D42" s="8">
        <v>240</v>
      </c>
      <c r="E42" s="1"/>
      <c r="F42" s="39">
        <f t="shared" si="0"/>
        <v>0</v>
      </c>
      <c r="G42" s="1"/>
      <c r="H42" s="8">
        <f t="shared" si="1"/>
        <v>0</v>
      </c>
      <c r="I42" s="1"/>
      <c r="J42" s="8">
        <f t="shared" si="2"/>
        <v>0</v>
      </c>
      <c r="K42" s="1">
        <v>1631</v>
      </c>
      <c r="L42" s="8">
        <f t="shared" si="3"/>
        <v>391440</v>
      </c>
      <c r="M42" s="1">
        <f t="shared" si="4"/>
        <v>1631</v>
      </c>
      <c r="N42" s="8">
        <f t="shared" si="5"/>
        <v>391440</v>
      </c>
    </row>
    <row r="43" spans="1:14">
      <c r="A43" s="40" t="s">
        <v>101</v>
      </c>
      <c r="B43" s="1" t="s">
        <v>102</v>
      </c>
      <c r="C43" s="1" t="s">
        <v>28</v>
      </c>
      <c r="D43" s="8">
        <v>500</v>
      </c>
      <c r="E43" s="1"/>
      <c r="F43" s="39">
        <f t="shared" si="0"/>
        <v>0</v>
      </c>
      <c r="G43" s="1">
        <v>93</v>
      </c>
      <c r="H43" s="8">
        <f t="shared" si="1"/>
        <v>46500</v>
      </c>
      <c r="I43" s="1"/>
      <c r="J43" s="8">
        <f t="shared" si="2"/>
        <v>0</v>
      </c>
      <c r="K43" s="1"/>
      <c r="L43" s="8">
        <f t="shared" si="3"/>
        <v>0</v>
      </c>
      <c r="M43" s="1">
        <f t="shared" si="4"/>
        <v>93</v>
      </c>
      <c r="N43" s="8">
        <f t="shared" si="5"/>
        <v>46500</v>
      </c>
    </row>
    <row r="44" spans="1:14">
      <c r="A44" s="38" t="s">
        <v>103</v>
      </c>
      <c r="B44" s="1" t="s">
        <v>104</v>
      </c>
      <c r="C44" s="1" t="s">
        <v>34</v>
      </c>
      <c r="D44" s="8">
        <v>5000</v>
      </c>
      <c r="E44" s="1"/>
      <c r="F44" s="39">
        <f t="shared" si="0"/>
        <v>0</v>
      </c>
      <c r="G44" s="1"/>
      <c r="H44" s="8">
        <f t="shared" si="1"/>
        <v>0</v>
      </c>
      <c r="I44" s="1"/>
      <c r="J44" s="8">
        <f t="shared" si="2"/>
        <v>0</v>
      </c>
      <c r="K44" s="1">
        <v>2</v>
      </c>
      <c r="L44" s="8">
        <f t="shared" si="3"/>
        <v>10000</v>
      </c>
      <c r="M44" s="1">
        <f t="shared" si="4"/>
        <v>2</v>
      </c>
      <c r="N44" s="8">
        <f t="shared" si="5"/>
        <v>10000</v>
      </c>
    </row>
    <row r="45" spans="1:14">
      <c r="A45" s="38" t="s">
        <v>105</v>
      </c>
      <c r="B45" s="1" t="s">
        <v>106</v>
      </c>
      <c r="C45" s="1" t="s">
        <v>34</v>
      </c>
      <c r="D45" s="8">
        <v>2000</v>
      </c>
      <c r="E45" s="1">
        <v>3</v>
      </c>
      <c r="F45" s="39">
        <f t="shared" si="0"/>
        <v>6000</v>
      </c>
      <c r="G45" s="1">
        <v>2</v>
      </c>
      <c r="H45" s="8">
        <f t="shared" si="1"/>
        <v>4000</v>
      </c>
      <c r="I45" s="1">
        <v>4</v>
      </c>
      <c r="J45" s="8">
        <f t="shared" si="2"/>
        <v>8000</v>
      </c>
      <c r="K45" s="1">
        <v>17</v>
      </c>
      <c r="L45" s="8">
        <f t="shared" si="3"/>
        <v>34000</v>
      </c>
      <c r="M45" s="1">
        <f t="shared" si="4"/>
        <v>26</v>
      </c>
      <c r="N45" s="8">
        <f t="shared" si="5"/>
        <v>52000</v>
      </c>
    </row>
    <row r="46" spans="1:14">
      <c r="A46" s="38" t="s">
        <v>107</v>
      </c>
      <c r="B46" s="1" t="s">
        <v>108</v>
      </c>
      <c r="C46" s="1" t="s">
        <v>34</v>
      </c>
      <c r="D46" s="8">
        <v>3500</v>
      </c>
      <c r="E46" s="1"/>
      <c r="F46" s="39">
        <f t="shared" si="0"/>
        <v>0</v>
      </c>
      <c r="G46" s="1">
        <v>1</v>
      </c>
      <c r="H46" s="8">
        <f t="shared" si="1"/>
        <v>3500</v>
      </c>
      <c r="I46" s="1"/>
      <c r="J46" s="8">
        <f t="shared" si="2"/>
        <v>0</v>
      </c>
      <c r="K46" s="1">
        <v>3</v>
      </c>
      <c r="L46" s="8">
        <f t="shared" si="3"/>
        <v>10500</v>
      </c>
      <c r="M46" s="1">
        <f t="shared" si="4"/>
        <v>4</v>
      </c>
      <c r="N46" s="8">
        <f t="shared" si="5"/>
        <v>14000</v>
      </c>
    </row>
    <row r="47" spans="1:14">
      <c r="A47" s="38" t="s">
        <v>109</v>
      </c>
      <c r="B47" s="1" t="s">
        <v>110</v>
      </c>
      <c r="C47" s="1" t="s">
        <v>34</v>
      </c>
      <c r="D47" s="8">
        <v>4000</v>
      </c>
      <c r="E47" s="1"/>
      <c r="F47" s="39">
        <f t="shared" si="0"/>
        <v>0</v>
      </c>
      <c r="G47" s="1"/>
      <c r="H47" s="8">
        <f t="shared" si="1"/>
        <v>0</v>
      </c>
      <c r="I47" s="1">
        <v>9</v>
      </c>
      <c r="J47" s="8">
        <f t="shared" si="2"/>
        <v>36000</v>
      </c>
      <c r="K47" s="1"/>
      <c r="L47" s="8">
        <f t="shared" si="3"/>
        <v>0</v>
      </c>
      <c r="M47" s="1">
        <f t="shared" si="4"/>
        <v>9</v>
      </c>
      <c r="N47" s="8">
        <f t="shared" si="5"/>
        <v>36000</v>
      </c>
    </row>
    <row r="48" spans="1:14">
      <c r="A48" s="38" t="s">
        <v>111</v>
      </c>
      <c r="B48" s="1" t="s">
        <v>112</v>
      </c>
      <c r="C48" s="1" t="s">
        <v>34</v>
      </c>
      <c r="D48" s="8">
        <v>6000</v>
      </c>
      <c r="E48" s="1"/>
      <c r="F48" s="39">
        <f t="shared" si="0"/>
        <v>0</v>
      </c>
      <c r="G48" s="1"/>
      <c r="H48" s="8">
        <f t="shared" si="1"/>
        <v>0</v>
      </c>
      <c r="I48" s="1"/>
      <c r="J48" s="8">
        <f t="shared" si="2"/>
        <v>0</v>
      </c>
      <c r="K48" s="1">
        <v>7</v>
      </c>
      <c r="L48" s="8">
        <f t="shared" si="3"/>
        <v>42000</v>
      </c>
      <c r="M48" s="1">
        <f t="shared" si="4"/>
        <v>7</v>
      </c>
      <c r="N48" s="8">
        <f t="shared" si="5"/>
        <v>42000</v>
      </c>
    </row>
    <row r="49" spans="1:14">
      <c r="A49" s="40" t="s">
        <v>113</v>
      </c>
      <c r="B49" s="1" t="s">
        <v>114</v>
      </c>
      <c r="C49" s="1" t="s">
        <v>28</v>
      </c>
      <c r="D49" s="8">
        <v>35</v>
      </c>
      <c r="E49" s="1">
        <v>50</v>
      </c>
      <c r="F49" s="39">
        <f t="shared" si="0"/>
        <v>1750</v>
      </c>
      <c r="G49" s="1">
        <v>50</v>
      </c>
      <c r="H49" s="8">
        <f t="shared" si="1"/>
        <v>1750</v>
      </c>
      <c r="I49" s="1">
        <v>50</v>
      </c>
      <c r="J49" s="8">
        <f t="shared" si="2"/>
        <v>1750</v>
      </c>
      <c r="K49" s="1">
        <v>50</v>
      </c>
      <c r="L49" s="8">
        <f t="shared" si="3"/>
        <v>1750</v>
      </c>
      <c r="M49" s="1">
        <f t="shared" si="4"/>
        <v>200</v>
      </c>
      <c r="N49" s="8">
        <f t="shared" si="5"/>
        <v>7000</v>
      </c>
    </row>
    <row r="50" spans="1:14">
      <c r="A50" s="38" t="s">
        <v>115</v>
      </c>
      <c r="B50" s="1" t="s">
        <v>116</v>
      </c>
      <c r="C50" s="1" t="s">
        <v>28</v>
      </c>
      <c r="D50" s="8">
        <v>40</v>
      </c>
      <c r="E50" s="1">
        <v>50</v>
      </c>
      <c r="F50" s="39">
        <f t="shared" si="0"/>
        <v>2000</v>
      </c>
      <c r="G50" s="1">
        <v>50</v>
      </c>
      <c r="H50" s="8">
        <f t="shared" si="1"/>
        <v>2000</v>
      </c>
      <c r="I50" s="1">
        <v>50</v>
      </c>
      <c r="J50" s="8">
        <f t="shared" si="2"/>
        <v>2000</v>
      </c>
      <c r="K50" s="1">
        <v>50</v>
      </c>
      <c r="L50" s="8">
        <f t="shared" si="3"/>
        <v>2000</v>
      </c>
      <c r="M50" s="1">
        <f t="shared" si="4"/>
        <v>200</v>
      </c>
      <c r="N50" s="8">
        <f t="shared" si="5"/>
        <v>8000</v>
      </c>
    </row>
    <row r="51" spans="1:14">
      <c r="A51" s="38" t="s">
        <v>117</v>
      </c>
      <c r="B51" s="1" t="s">
        <v>118</v>
      </c>
      <c r="C51" s="1" t="s">
        <v>28</v>
      </c>
      <c r="D51" s="8">
        <v>50</v>
      </c>
      <c r="E51" s="1">
        <v>50</v>
      </c>
      <c r="F51" s="39">
        <f t="shared" si="0"/>
        <v>2500</v>
      </c>
      <c r="G51" s="1">
        <v>50</v>
      </c>
      <c r="H51" s="8">
        <f t="shared" si="1"/>
        <v>2500</v>
      </c>
      <c r="I51" s="1">
        <v>50</v>
      </c>
      <c r="J51" s="8">
        <f t="shared" si="2"/>
        <v>2500</v>
      </c>
      <c r="K51" s="1">
        <v>50</v>
      </c>
      <c r="L51" s="8">
        <f t="shared" si="3"/>
        <v>2500</v>
      </c>
      <c r="M51" s="1">
        <f t="shared" si="4"/>
        <v>200</v>
      </c>
      <c r="N51" s="8">
        <f t="shared" si="5"/>
        <v>10000</v>
      </c>
    </row>
    <row r="52" spans="1:14">
      <c r="A52" s="38" t="s">
        <v>60</v>
      </c>
      <c r="B52" s="1" t="s">
        <v>119</v>
      </c>
      <c r="C52" s="1" t="s">
        <v>28</v>
      </c>
      <c r="D52" s="8">
        <v>20</v>
      </c>
      <c r="E52" s="1"/>
      <c r="F52" s="39">
        <f t="shared" si="0"/>
        <v>0</v>
      </c>
      <c r="G52" s="1">
        <v>2367</v>
      </c>
      <c r="H52" s="8">
        <f t="shared" si="1"/>
        <v>47340</v>
      </c>
      <c r="I52" s="1">
        <v>585</v>
      </c>
      <c r="J52" s="8">
        <f t="shared" si="2"/>
        <v>11700</v>
      </c>
      <c r="K52" s="1"/>
      <c r="L52" s="8">
        <f t="shared" si="3"/>
        <v>0</v>
      </c>
      <c r="M52" s="1">
        <f t="shared" si="4"/>
        <v>2952</v>
      </c>
      <c r="N52" s="8">
        <f t="shared" si="5"/>
        <v>59040</v>
      </c>
    </row>
    <row r="53" spans="1:14">
      <c r="A53" s="76" t="s">
        <v>120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8"/>
    </row>
    <row r="54" spans="1:14">
      <c r="A54" s="38" t="s">
        <v>121</v>
      </c>
      <c r="B54" s="1" t="s">
        <v>122</v>
      </c>
      <c r="C54" s="1" t="s">
        <v>66</v>
      </c>
      <c r="D54" s="8">
        <v>150</v>
      </c>
      <c r="E54" s="1"/>
      <c r="F54" s="39">
        <f t="shared" si="0"/>
        <v>0</v>
      </c>
      <c r="G54" s="1">
        <v>14</v>
      </c>
      <c r="H54" s="8">
        <f t="shared" si="1"/>
        <v>2100</v>
      </c>
      <c r="I54" s="1"/>
      <c r="J54" s="8">
        <f t="shared" si="2"/>
        <v>0</v>
      </c>
      <c r="K54" s="1"/>
      <c r="L54" s="8">
        <f t="shared" si="3"/>
        <v>0</v>
      </c>
      <c r="M54" s="1">
        <f t="shared" si="4"/>
        <v>14</v>
      </c>
      <c r="N54" s="8">
        <f t="shared" si="5"/>
        <v>2100</v>
      </c>
    </row>
    <row r="55" spans="1:14">
      <c r="A55" s="38" t="s">
        <v>121</v>
      </c>
      <c r="B55" s="1" t="s">
        <v>123</v>
      </c>
      <c r="C55" s="1" t="s">
        <v>66</v>
      </c>
      <c r="D55" s="8">
        <v>100</v>
      </c>
      <c r="E55" s="1">
        <v>6</v>
      </c>
      <c r="F55" s="39">
        <f t="shared" si="0"/>
        <v>600</v>
      </c>
      <c r="G55" s="1">
        <v>12</v>
      </c>
      <c r="H55" s="8">
        <f t="shared" si="1"/>
        <v>1200</v>
      </c>
      <c r="I55" s="1">
        <v>163</v>
      </c>
      <c r="J55" s="8">
        <f t="shared" si="2"/>
        <v>16300</v>
      </c>
      <c r="K55" s="1">
        <v>74</v>
      </c>
      <c r="L55" s="8">
        <f t="shared" si="3"/>
        <v>7400</v>
      </c>
      <c r="M55" s="1">
        <f t="shared" si="4"/>
        <v>255</v>
      </c>
      <c r="N55" s="8">
        <f t="shared" si="5"/>
        <v>25500</v>
      </c>
    </row>
    <row r="56" spans="1:14">
      <c r="A56" s="76" t="s">
        <v>124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8"/>
    </row>
    <row r="57" spans="1:14">
      <c r="A57" s="38" t="s">
        <v>125</v>
      </c>
      <c r="B57" s="1" t="s">
        <v>126</v>
      </c>
      <c r="C57" s="1" t="s">
        <v>34</v>
      </c>
      <c r="D57" s="8">
        <v>75</v>
      </c>
      <c r="E57" s="1"/>
      <c r="F57" s="39">
        <f t="shared" si="0"/>
        <v>0</v>
      </c>
      <c r="G57" s="1">
        <v>2</v>
      </c>
      <c r="H57" s="8">
        <f t="shared" si="1"/>
        <v>150</v>
      </c>
      <c r="I57" s="1"/>
      <c r="J57" s="8">
        <f t="shared" si="2"/>
        <v>0</v>
      </c>
      <c r="K57" s="1"/>
      <c r="L57" s="8">
        <f t="shared" si="3"/>
        <v>0</v>
      </c>
      <c r="M57" s="1">
        <f t="shared" si="4"/>
        <v>2</v>
      </c>
      <c r="N57" s="8">
        <f t="shared" si="5"/>
        <v>150</v>
      </c>
    </row>
    <row r="58" spans="1:14">
      <c r="A58" s="76" t="s">
        <v>127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8"/>
    </row>
    <row r="59" spans="1:14">
      <c r="A59" s="38" t="s">
        <v>128</v>
      </c>
      <c r="B59" s="1" t="s">
        <v>129</v>
      </c>
      <c r="C59" s="1" t="s">
        <v>31</v>
      </c>
      <c r="D59" s="8">
        <v>8000</v>
      </c>
      <c r="E59" s="1">
        <v>0.25</v>
      </c>
      <c r="F59" s="39">
        <f t="shared" si="0"/>
        <v>2000</v>
      </c>
      <c r="G59" s="1">
        <v>0.25</v>
      </c>
      <c r="H59" s="8">
        <f t="shared" si="1"/>
        <v>2000</v>
      </c>
      <c r="I59" s="1">
        <v>0.25</v>
      </c>
      <c r="J59" s="8">
        <f t="shared" si="2"/>
        <v>2000</v>
      </c>
      <c r="K59" s="1">
        <v>0.25</v>
      </c>
      <c r="L59" s="8">
        <f t="shared" si="3"/>
        <v>2000</v>
      </c>
      <c r="M59" s="1">
        <f t="shared" si="4"/>
        <v>1</v>
      </c>
      <c r="N59" s="8">
        <f t="shared" si="5"/>
        <v>8000</v>
      </c>
    </row>
    <row r="60" spans="1:14">
      <c r="A60" s="38" t="s">
        <v>130</v>
      </c>
      <c r="B60" s="1" t="s">
        <v>131</v>
      </c>
      <c r="C60" s="1" t="s">
        <v>31</v>
      </c>
      <c r="D60" s="8">
        <v>8000</v>
      </c>
      <c r="E60" s="1">
        <v>0.25</v>
      </c>
      <c r="F60" s="39">
        <f t="shared" si="0"/>
        <v>2000</v>
      </c>
      <c r="G60" s="1">
        <v>0.25</v>
      </c>
      <c r="H60" s="8">
        <f t="shared" si="1"/>
        <v>2000</v>
      </c>
      <c r="I60" s="1">
        <v>0.25</v>
      </c>
      <c r="J60" s="8">
        <f t="shared" si="2"/>
        <v>2000</v>
      </c>
      <c r="K60" s="1">
        <v>0.25</v>
      </c>
      <c r="L60" s="8">
        <f t="shared" si="3"/>
        <v>2000</v>
      </c>
      <c r="M60" s="1">
        <f t="shared" si="4"/>
        <v>1</v>
      </c>
      <c r="N60" s="8">
        <f t="shared" si="5"/>
        <v>8000</v>
      </c>
    </row>
    <row r="61" spans="1:14">
      <c r="A61" s="38" t="s">
        <v>132</v>
      </c>
      <c r="B61" s="1" t="s">
        <v>133</v>
      </c>
      <c r="C61" s="1" t="s">
        <v>31</v>
      </c>
      <c r="D61" s="8">
        <v>10000</v>
      </c>
      <c r="E61" s="1">
        <v>0.25</v>
      </c>
      <c r="F61" s="39">
        <f t="shared" si="0"/>
        <v>2500</v>
      </c>
      <c r="G61" s="1">
        <v>0.25</v>
      </c>
      <c r="H61" s="8">
        <f t="shared" si="1"/>
        <v>2500</v>
      </c>
      <c r="I61" s="1">
        <v>0.25</v>
      </c>
      <c r="J61" s="8">
        <f t="shared" si="2"/>
        <v>2500</v>
      </c>
      <c r="K61" s="1">
        <v>0.25</v>
      </c>
      <c r="L61" s="8">
        <f t="shared" si="3"/>
        <v>2500</v>
      </c>
      <c r="M61" s="1">
        <f t="shared" si="4"/>
        <v>1</v>
      </c>
      <c r="N61" s="8">
        <f t="shared" si="5"/>
        <v>10000</v>
      </c>
    </row>
    <row r="62" spans="1:14">
      <c r="A62" s="1"/>
      <c r="B62" s="1" t="s">
        <v>134</v>
      </c>
      <c r="C62" s="1"/>
      <c r="D62" s="1"/>
      <c r="E62" s="1"/>
      <c r="F62" s="8">
        <v>25000</v>
      </c>
      <c r="G62" s="1"/>
      <c r="H62" s="8">
        <v>60000</v>
      </c>
      <c r="I62" s="1"/>
      <c r="J62" s="8">
        <v>195000</v>
      </c>
      <c r="K62" s="1"/>
      <c r="L62" s="8">
        <v>315000</v>
      </c>
      <c r="M62" s="1"/>
      <c r="N62" s="8">
        <f>F62+H62+J62+L62</f>
        <v>595000</v>
      </c>
    </row>
    <row r="63" spans="1:14">
      <c r="A63" s="1"/>
      <c r="B63" s="1" t="s">
        <v>135</v>
      </c>
      <c r="C63" s="1"/>
      <c r="D63" s="1"/>
      <c r="E63" s="1"/>
      <c r="F63" s="8">
        <v>4000</v>
      </c>
      <c r="G63" s="1"/>
      <c r="H63" s="8">
        <v>4000</v>
      </c>
      <c r="I63" s="1"/>
      <c r="J63" s="8">
        <v>4000</v>
      </c>
      <c r="K63" s="1"/>
      <c r="L63" s="8">
        <v>4000</v>
      </c>
      <c r="M63" s="1"/>
      <c r="N63" s="8">
        <f>F63+H63+J63+L63</f>
        <v>16000</v>
      </c>
    </row>
    <row r="64" spans="1:14" s="3" customFormat="1">
      <c r="A64"/>
      <c r="B64"/>
      <c r="C64"/>
      <c r="D64"/>
      <c r="E64" s="1" t="s">
        <v>5</v>
      </c>
      <c r="F64" s="31">
        <f>SUM(F59:F63,F57,F54:F55,F28:F52,F21:F26,F3:F19)</f>
        <v>155927</v>
      </c>
      <c r="G64" s="1" t="s">
        <v>7</v>
      </c>
      <c r="H64" s="31">
        <f>SUM(H59:H63,H57,H54:H55,H28:H52,H21:H26,H3:H19)</f>
        <v>332407</v>
      </c>
      <c r="I64" s="1" t="s">
        <v>9</v>
      </c>
      <c r="J64" s="31">
        <f>SUM(J59:J63,J57,J54:J55,J28:J52,J21:J26,J3:J19)</f>
        <v>1169485</v>
      </c>
      <c r="K64" s="1" t="s">
        <v>11</v>
      </c>
      <c r="L64" s="31">
        <f>SUM(L59:L63,L57,L54:L55,L28:L52,L21:L26,L3:L19)</f>
        <v>1889945</v>
      </c>
      <c r="M64" s="1" t="s">
        <v>136</v>
      </c>
      <c r="N64" s="8">
        <f>SUM(N59:N63,N57,N54:N55,N28:N52,N21:N26,N3:N19)</f>
        <v>3547764</v>
      </c>
    </row>
    <row r="67" spans="13:14">
      <c r="M67" t="s">
        <v>137</v>
      </c>
      <c r="N67" s="23">
        <f>F64+H64+J64+L64</f>
        <v>3547764</v>
      </c>
    </row>
  </sheetData>
  <mergeCells count="6">
    <mergeCell ref="A2:N2"/>
    <mergeCell ref="A20:N20"/>
    <mergeCell ref="A27:N27"/>
    <mergeCell ref="A58:N58"/>
    <mergeCell ref="A53:N53"/>
    <mergeCell ref="A56:N56"/>
  </mergeCells>
  <pageMargins left="0.7" right="0.7" top="0.75" bottom="0.75" header="0.3" footer="0.3"/>
  <pageSetup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0D72-3F90-49DB-A287-F9C36A35C38C}">
  <sheetPr>
    <pageSetUpPr fitToPage="1"/>
  </sheetPr>
  <dimension ref="A1:N67"/>
  <sheetViews>
    <sheetView topLeftCell="A37" workbookViewId="0">
      <selection activeCell="A42" sqref="A42:XFD42"/>
    </sheetView>
  </sheetViews>
  <sheetFormatPr defaultRowHeight="14.45"/>
  <cols>
    <col min="1" max="1" width="12.42578125" bestFit="1" customWidth="1"/>
    <col min="2" max="2" width="56.7109375" bestFit="1" customWidth="1"/>
    <col min="4" max="4" width="11.28515625" bestFit="1" customWidth="1"/>
    <col min="6" max="6" width="12.28515625" bestFit="1" customWidth="1"/>
    <col min="8" max="8" width="12.28515625" bestFit="1" customWidth="1"/>
    <col min="10" max="10" width="13.85546875" bestFit="1" customWidth="1"/>
    <col min="12" max="12" width="13.85546875" bestFit="1" customWidth="1"/>
    <col min="14" max="14" width="13.85546875" bestFit="1" customWidth="1"/>
  </cols>
  <sheetData>
    <row r="1" spans="1:14">
      <c r="A1" s="1"/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</row>
    <row r="2" spans="1:14" s="3" customFormat="1">
      <c r="A2" s="73" t="s">
        <v>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</row>
    <row r="3" spans="1:14">
      <c r="A3" s="38" t="s">
        <v>29</v>
      </c>
      <c r="B3" s="1" t="s">
        <v>30</v>
      </c>
      <c r="C3" s="1" t="s">
        <v>31</v>
      </c>
      <c r="D3" s="8">
        <v>15000</v>
      </c>
      <c r="E3" s="1">
        <v>0.25</v>
      </c>
      <c r="F3" s="39">
        <f t="shared" ref="F3:F61" si="0">D3*E3</f>
        <v>3750</v>
      </c>
      <c r="G3" s="1">
        <v>0.25</v>
      </c>
      <c r="H3" s="8">
        <f>D3*G3</f>
        <v>3750</v>
      </c>
      <c r="I3" s="1">
        <v>0.25</v>
      </c>
      <c r="J3" s="8">
        <f>D3*I3</f>
        <v>3750</v>
      </c>
      <c r="K3" s="1">
        <v>0.25</v>
      </c>
      <c r="L3" s="8">
        <f>D3*K3</f>
        <v>3750</v>
      </c>
      <c r="M3" s="1">
        <f>E3+G3+I3+K3</f>
        <v>1</v>
      </c>
      <c r="N3" s="8">
        <f>D3*M3</f>
        <v>15000</v>
      </c>
    </row>
    <row r="4" spans="1:14">
      <c r="A4" s="38" t="s">
        <v>32</v>
      </c>
      <c r="B4" s="1" t="s">
        <v>33</v>
      </c>
      <c r="C4" s="1" t="s">
        <v>34</v>
      </c>
      <c r="D4" s="8">
        <v>1000</v>
      </c>
      <c r="E4" s="1">
        <v>5</v>
      </c>
      <c r="F4" s="39">
        <f t="shared" si="0"/>
        <v>5000</v>
      </c>
      <c r="G4" s="1">
        <v>1</v>
      </c>
      <c r="H4" s="8">
        <f t="shared" ref="H4:H61" si="1">D4*G4</f>
        <v>1000</v>
      </c>
      <c r="I4" s="1"/>
      <c r="J4" s="8">
        <f t="shared" ref="J4:J61" si="2">D4*I4</f>
        <v>0</v>
      </c>
      <c r="K4" s="1">
        <v>2</v>
      </c>
      <c r="L4" s="8">
        <f t="shared" ref="L4:L61" si="3">D4*K4</f>
        <v>2000</v>
      </c>
      <c r="M4" s="1">
        <f t="shared" ref="M4:M61" si="4">E4+G4+I4+K4</f>
        <v>8</v>
      </c>
      <c r="N4" s="8">
        <f t="shared" ref="N4:N61" si="5">D4*M4</f>
        <v>8000</v>
      </c>
    </row>
    <row r="5" spans="1:14">
      <c r="A5" s="38" t="s">
        <v>35</v>
      </c>
      <c r="B5" s="1" t="s">
        <v>36</v>
      </c>
      <c r="C5" s="1" t="s">
        <v>34</v>
      </c>
      <c r="D5" s="8">
        <v>2500</v>
      </c>
      <c r="E5" s="1"/>
      <c r="F5" s="39">
        <f t="shared" si="0"/>
        <v>0</v>
      </c>
      <c r="G5" s="1">
        <v>1</v>
      </c>
      <c r="H5" s="8">
        <f t="shared" si="1"/>
        <v>2500</v>
      </c>
      <c r="I5" s="1"/>
      <c r="J5" s="8">
        <f t="shared" si="2"/>
        <v>0</v>
      </c>
      <c r="K5" s="1"/>
      <c r="L5" s="8">
        <f t="shared" si="3"/>
        <v>0</v>
      </c>
      <c r="M5" s="1">
        <f t="shared" si="4"/>
        <v>1</v>
      </c>
      <c r="N5" s="8">
        <f t="shared" si="5"/>
        <v>2500</v>
      </c>
    </row>
    <row r="6" spans="1:14">
      <c r="A6" s="38" t="s">
        <v>37</v>
      </c>
      <c r="B6" s="1" t="s">
        <v>38</v>
      </c>
      <c r="C6" s="1" t="s">
        <v>28</v>
      </c>
      <c r="D6" s="8">
        <v>20</v>
      </c>
      <c r="E6" s="1"/>
      <c r="F6" s="39">
        <f t="shared" si="0"/>
        <v>0</v>
      </c>
      <c r="G6" s="1"/>
      <c r="H6" s="8">
        <f t="shared" si="1"/>
        <v>0</v>
      </c>
      <c r="I6" s="1">
        <v>2341</v>
      </c>
      <c r="J6" s="8">
        <f t="shared" si="2"/>
        <v>46820</v>
      </c>
      <c r="K6" s="1">
        <v>521</v>
      </c>
      <c r="L6" s="8">
        <f t="shared" si="3"/>
        <v>10420</v>
      </c>
      <c r="M6" s="1">
        <f t="shared" si="4"/>
        <v>2862</v>
      </c>
      <c r="N6" s="8">
        <f t="shared" si="5"/>
        <v>57240</v>
      </c>
    </row>
    <row r="7" spans="1:14">
      <c r="A7" s="38" t="s">
        <v>39</v>
      </c>
      <c r="B7" s="1" t="s">
        <v>40</v>
      </c>
      <c r="C7" s="1" t="s">
        <v>28</v>
      </c>
      <c r="D7" s="8">
        <v>30</v>
      </c>
      <c r="E7" s="1"/>
      <c r="F7" s="39">
        <f t="shared" si="0"/>
        <v>0</v>
      </c>
      <c r="G7" s="1">
        <v>104</v>
      </c>
      <c r="H7" s="8">
        <f t="shared" si="1"/>
        <v>3120</v>
      </c>
      <c r="I7" s="1"/>
      <c r="J7" s="8">
        <f t="shared" si="2"/>
        <v>0</v>
      </c>
      <c r="K7" s="1"/>
      <c r="L7" s="8">
        <f t="shared" si="3"/>
        <v>0</v>
      </c>
      <c r="M7" s="1">
        <f t="shared" si="4"/>
        <v>104</v>
      </c>
      <c r="N7" s="8">
        <f t="shared" si="5"/>
        <v>3120</v>
      </c>
    </row>
    <row r="8" spans="1:14">
      <c r="A8" s="38" t="s">
        <v>41</v>
      </c>
      <c r="B8" s="1" t="s">
        <v>42</v>
      </c>
      <c r="C8" s="1" t="s">
        <v>34</v>
      </c>
      <c r="D8" s="8">
        <v>800</v>
      </c>
      <c r="E8" s="1"/>
      <c r="F8" s="39">
        <f t="shared" si="0"/>
        <v>0</v>
      </c>
      <c r="G8" s="1"/>
      <c r="H8" s="8">
        <f t="shared" si="1"/>
        <v>0</v>
      </c>
      <c r="I8" s="1">
        <v>2</v>
      </c>
      <c r="J8" s="8">
        <f t="shared" si="2"/>
        <v>1600</v>
      </c>
      <c r="K8" s="1">
        <v>3</v>
      </c>
      <c r="L8" s="8">
        <f t="shared" si="3"/>
        <v>2400</v>
      </c>
      <c r="M8" s="1">
        <f t="shared" si="4"/>
        <v>5</v>
      </c>
      <c r="N8" s="8">
        <f t="shared" si="5"/>
        <v>4000</v>
      </c>
    </row>
    <row r="9" spans="1:14">
      <c r="A9" s="38" t="s">
        <v>43</v>
      </c>
      <c r="B9" s="1" t="s">
        <v>44</v>
      </c>
      <c r="C9" s="1" t="s">
        <v>28</v>
      </c>
      <c r="D9" s="8">
        <v>25</v>
      </c>
      <c r="E9" s="1">
        <v>120</v>
      </c>
      <c r="F9" s="39">
        <f t="shared" si="0"/>
        <v>3000</v>
      </c>
      <c r="G9" s="1"/>
      <c r="H9" s="8">
        <f t="shared" si="1"/>
        <v>0</v>
      </c>
      <c r="I9" s="1">
        <v>10</v>
      </c>
      <c r="J9" s="8">
        <f t="shared" si="2"/>
        <v>250</v>
      </c>
      <c r="K9" s="1">
        <v>214</v>
      </c>
      <c r="L9" s="8">
        <f t="shared" si="3"/>
        <v>5350</v>
      </c>
      <c r="M9" s="1">
        <f t="shared" si="4"/>
        <v>344</v>
      </c>
      <c r="N9" s="8">
        <f t="shared" si="5"/>
        <v>8600</v>
      </c>
    </row>
    <row r="10" spans="1:14">
      <c r="A10" s="38" t="s">
        <v>45</v>
      </c>
      <c r="B10" s="1" t="s">
        <v>46</v>
      </c>
      <c r="C10" s="1" t="s">
        <v>47</v>
      </c>
      <c r="D10" s="8">
        <v>15</v>
      </c>
      <c r="E10" s="1"/>
      <c r="F10" s="39">
        <f t="shared" si="0"/>
        <v>0</v>
      </c>
      <c r="G10" s="1">
        <v>255</v>
      </c>
      <c r="H10" s="8">
        <f t="shared" si="1"/>
        <v>3825</v>
      </c>
      <c r="I10" s="1">
        <v>451</v>
      </c>
      <c r="J10" s="8">
        <f t="shared" si="2"/>
        <v>6765</v>
      </c>
      <c r="K10" s="1">
        <v>1000</v>
      </c>
      <c r="L10" s="8">
        <f t="shared" si="3"/>
        <v>15000</v>
      </c>
      <c r="M10" s="1">
        <f t="shared" si="4"/>
        <v>1706</v>
      </c>
      <c r="N10" s="8">
        <f t="shared" si="5"/>
        <v>25590</v>
      </c>
    </row>
    <row r="11" spans="1:14">
      <c r="A11" s="38" t="s">
        <v>45</v>
      </c>
      <c r="B11" s="1" t="s">
        <v>48</v>
      </c>
      <c r="C11" s="1" t="s">
        <v>47</v>
      </c>
      <c r="D11" s="8">
        <v>9</v>
      </c>
      <c r="E11" s="1">
        <v>100</v>
      </c>
      <c r="F11" s="39">
        <f t="shared" si="0"/>
        <v>900</v>
      </c>
      <c r="G11" s="1">
        <v>200</v>
      </c>
      <c r="H11" s="8">
        <f t="shared" si="1"/>
        <v>1800</v>
      </c>
      <c r="I11" s="1">
        <v>200</v>
      </c>
      <c r="J11" s="8">
        <f t="shared" si="2"/>
        <v>1800</v>
      </c>
      <c r="K11" s="1">
        <v>200</v>
      </c>
      <c r="L11" s="8">
        <f t="shared" si="3"/>
        <v>1800</v>
      </c>
      <c r="M11" s="1">
        <f t="shared" si="4"/>
        <v>700</v>
      </c>
      <c r="N11" s="8">
        <f t="shared" si="5"/>
        <v>6300</v>
      </c>
    </row>
    <row r="12" spans="1:14">
      <c r="A12" s="38" t="s">
        <v>49</v>
      </c>
      <c r="B12" s="1" t="s">
        <v>50</v>
      </c>
      <c r="C12" s="1" t="s">
        <v>47</v>
      </c>
      <c r="D12" s="8">
        <v>9</v>
      </c>
      <c r="E12" s="1">
        <v>50</v>
      </c>
      <c r="F12" s="39">
        <f t="shared" si="0"/>
        <v>450</v>
      </c>
      <c r="G12" s="1">
        <v>100</v>
      </c>
      <c r="H12" s="8">
        <f t="shared" si="1"/>
        <v>900</v>
      </c>
      <c r="I12" s="1">
        <v>100</v>
      </c>
      <c r="J12" s="8">
        <f t="shared" si="2"/>
        <v>900</v>
      </c>
      <c r="K12" s="1">
        <v>100</v>
      </c>
      <c r="L12" s="8">
        <f t="shared" si="3"/>
        <v>900</v>
      </c>
      <c r="M12" s="1">
        <f t="shared" si="4"/>
        <v>350</v>
      </c>
      <c r="N12" s="8">
        <f t="shared" si="5"/>
        <v>3150</v>
      </c>
    </row>
    <row r="13" spans="1:14">
      <c r="A13" s="38" t="s">
        <v>51</v>
      </c>
      <c r="B13" s="1" t="s">
        <v>52</v>
      </c>
      <c r="C13" s="1" t="s">
        <v>47</v>
      </c>
      <c r="D13" s="8">
        <v>9</v>
      </c>
      <c r="E13" s="1">
        <v>50</v>
      </c>
      <c r="F13" s="39">
        <f t="shared" si="0"/>
        <v>450</v>
      </c>
      <c r="G13" s="1">
        <v>50</v>
      </c>
      <c r="H13" s="8">
        <f t="shared" si="1"/>
        <v>450</v>
      </c>
      <c r="I13" s="1">
        <v>50</v>
      </c>
      <c r="J13" s="8">
        <f t="shared" si="2"/>
        <v>450</v>
      </c>
      <c r="K13" s="1">
        <v>50</v>
      </c>
      <c r="L13" s="8">
        <f t="shared" si="3"/>
        <v>450</v>
      </c>
      <c r="M13" s="1">
        <f t="shared" si="4"/>
        <v>200</v>
      </c>
      <c r="N13" s="8">
        <f t="shared" si="5"/>
        <v>1800</v>
      </c>
    </row>
    <row r="14" spans="1:14">
      <c r="A14" s="38" t="s">
        <v>51</v>
      </c>
      <c r="B14" s="1" t="s">
        <v>53</v>
      </c>
      <c r="C14" s="1" t="s">
        <v>47</v>
      </c>
      <c r="D14" s="8">
        <v>9</v>
      </c>
      <c r="E14" s="1">
        <v>50</v>
      </c>
      <c r="F14" s="39">
        <f t="shared" si="0"/>
        <v>450</v>
      </c>
      <c r="G14" s="1">
        <v>50</v>
      </c>
      <c r="H14" s="8">
        <f t="shared" si="1"/>
        <v>450</v>
      </c>
      <c r="I14" s="1">
        <v>50</v>
      </c>
      <c r="J14" s="8">
        <f t="shared" si="2"/>
        <v>450</v>
      </c>
      <c r="K14" s="1">
        <v>50</v>
      </c>
      <c r="L14" s="8">
        <f t="shared" si="3"/>
        <v>450</v>
      </c>
      <c r="M14" s="1">
        <f t="shared" si="4"/>
        <v>200</v>
      </c>
      <c r="N14" s="8">
        <f t="shared" si="5"/>
        <v>1800</v>
      </c>
    </row>
    <row r="15" spans="1:14">
      <c r="A15" s="38" t="s">
        <v>54</v>
      </c>
      <c r="B15" s="1" t="s">
        <v>55</v>
      </c>
      <c r="C15" s="1" t="s">
        <v>47</v>
      </c>
      <c r="D15" s="8">
        <v>50</v>
      </c>
      <c r="E15" s="1"/>
      <c r="F15" s="39">
        <f t="shared" si="0"/>
        <v>0</v>
      </c>
      <c r="G15" s="1">
        <v>180</v>
      </c>
      <c r="H15" s="8">
        <f t="shared" si="1"/>
        <v>9000</v>
      </c>
      <c r="I15" s="1">
        <v>289</v>
      </c>
      <c r="J15" s="8">
        <f t="shared" si="2"/>
        <v>14450</v>
      </c>
      <c r="K15" s="1">
        <v>1064</v>
      </c>
      <c r="L15" s="8">
        <f t="shared" si="3"/>
        <v>53200</v>
      </c>
      <c r="M15" s="1">
        <f t="shared" si="4"/>
        <v>1533</v>
      </c>
      <c r="N15" s="8">
        <f t="shared" si="5"/>
        <v>76650</v>
      </c>
    </row>
    <row r="16" spans="1:14">
      <c r="A16" s="38" t="s">
        <v>56</v>
      </c>
      <c r="B16" s="1" t="s">
        <v>57</v>
      </c>
      <c r="C16" s="1" t="s">
        <v>28</v>
      </c>
      <c r="D16" s="8">
        <v>100</v>
      </c>
      <c r="E16" s="1"/>
      <c r="F16" s="39">
        <f t="shared" si="0"/>
        <v>0</v>
      </c>
      <c r="G16" s="1">
        <v>12.5</v>
      </c>
      <c r="H16" s="8">
        <f t="shared" si="1"/>
        <v>1250</v>
      </c>
      <c r="I16" s="1"/>
      <c r="J16" s="8">
        <f t="shared" si="2"/>
        <v>0</v>
      </c>
      <c r="K16" s="1"/>
      <c r="L16" s="8">
        <f t="shared" si="3"/>
        <v>0</v>
      </c>
      <c r="M16" s="1">
        <f t="shared" si="4"/>
        <v>12.5</v>
      </c>
      <c r="N16" s="8">
        <f t="shared" si="5"/>
        <v>1250</v>
      </c>
    </row>
    <row r="17" spans="1:14">
      <c r="A17" s="38" t="s">
        <v>58</v>
      </c>
      <c r="B17" s="1" t="s">
        <v>59</v>
      </c>
      <c r="C17" s="1" t="s">
        <v>34</v>
      </c>
      <c r="D17" s="8">
        <v>210</v>
      </c>
      <c r="E17" s="1"/>
      <c r="F17" s="39">
        <f t="shared" si="0"/>
        <v>0</v>
      </c>
      <c r="G17" s="1"/>
      <c r="H17" s="8">
        <f t="shared" si="1"/>
        <v>0</v>
      </c>
      <c r="I17" s="1">
        <v>10</v>
      </c>
      <c r="J17" s="8">
        <f t="shared" si="2"/>
        <v>2100</v>
      </c>
      <c r="K17" s="1">
        <v>8</v>
      </c>
      <c r="L17" s="8">
        <f t="shared" si="3"/>
        <v>1680</v>
      </c>
      <c r="M17" s="1">
        <f t="shared" si="4"/>
        <v>18</v>
      </c>
      <c r="N17" s="8">
        <f t="shared" si="5"/>
        <v>3780</v>
      </c>
    </row>
    <row r="18" spans="1:14">
      <c r="A18" s="38" t="s">
        <v>60</v>
      </c>
      <c r="B18" s="1" t="s">
        <v>61</v>
      </c>
      <c r="C18" s="1" t="s">
        <v>34</v>
      </c>
      <c r="D18" s="8">
        <v>5000</v>
      </c>
      <c r="E18" s="1"/>
      <c r="F18" s="39">
        <f t="shared" si="0"/>
        <v>0</v>
      </c>
      <c r="G18" s="1"/>
      <c r="H18" s="8">
        <f t="shared" si="1"/>
        <v>0</v>
      </c>
      <c r="I18" s="1">
        <v>11</v>
      </c>
      <c r="J18" s="8">
        <f t="shared" si="2"/>
        <v>55000</v>
      </c>
      <c r="K18" s="1"/>
      <c r="L18" s="8">
        <f t="shared" si="3"/>
        <v>0</v>
      </c>
      <c r="M18" s="1">
        <f t="shared" si="4"/>
        <v>11</v>
      </c>
      <c r="N18" s="8">
        <f t="shared" si="5"/>
        <v>55000</v>
      </c>
    </row>
    <row r="19" spans="1:14">
      <c r="A19" s="38" t="s">
        <v>60</v>
      </c>
      <c r="B19" s="1" t="s">
        <v>62</v>
      </c>
      <c r="C19" s="1" t="s">
        <v>34</v>
      </c>
      <c r="D19" s="8">
        <v>800</v>
      </c>
      <c r="E19" s="1"/>
      <c r="F19" s="39">
        <f t="shared" si="0"/>
        <v>0</v>
      </c>
      <c r="G19" s="1">
        <v>2</v>
      </c>
      <c r="H19" s="8">
        <f t="shared" si="1"/>
        <v>1600</v>
      </c>
      <c r="I19" s="1">
        <v>2</v>
      </c>
      <c r="J19" s="8">
        <f t="shared" si="2"/>
        <v>1600</v>
      </c>
      <c r="K19" s="1">
        <v>2</v>
      </c>
      <c r="L19" s="8">
        <f t="shared" si="3"/>
        <v>1600</v>
      </c>
      <c r="M19" s="1">
        <f t="shared" si="4"/>
        <v>6</v>
      </c>
      <c r="N19" s="8">
        <f t="shared" si="5"/>
        <v>4800</v>
      </c>
    </row>
    <row r="20" spans="1:14">
      <c r="A20" s="76" t="s">
        <v>63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8"/>
    </row>
    <row r="21" spans="1:14">
      <c r="A21" s="38" t="s">
        <v>64</v>
      </c>
      <c r="B21" s="1" t="s">
        <v>65</v>
      </c>
      <c r="C21" s="1" t="s">
        <v>66</v>
      </c>
      <c r="D21" s="8">
        <v>200</v>
      </c>
      <c r="E21" s="1"/>
      <c r="F21" s="39">
        <f t="shared" si="0"/>
        <v>0</v>
      </c>
      <c r="G21" s="1"/>
      <c r="H21" s="8">
        <f t="shared" si="1"/>
        <v>0</v>
      </c>
      <c r="I21" s="1"/>
      <c r="J21" s="8">
        <f t="shared" si="2"/>
        <v>0</v>
      </c>
      <c r="K21" s="1">
        <v>9</v>
      </c>
      <c r="L21" s="8">
        <f t="shared" si="3"/>
        <v>1800</v>
      </c>
      <c r="M21" s="1">
        <f t="shared" si="4"/>
        <v>9</v>
      </c>
      <c r="N21" s="8">
        <f t="shared" si="5"/>
        <v>1800</v>
      </c>
    </row>
    <row r="22" spans="1:14">
      <c r="A22" s="38" t="s">
        <v>67</v>
      </c>
      <c r="B22" s="1" t="s">
        <v>68</v>
      </c>
      <c r="C22" s="1" t="s">
        <v>47</v>
      </c>
      <c r="D22" s="8">
        <v>200</v>
      </c>
      <c r="E22" s="1">
        <v>1</v>
      </c>
      <c r="F22" s="39">
        <f t="shared" si="0"/>
        <v>200</v>
      </c>
      <c r="G22" s="1">
        <v>2</v>
      </c>
      <c r="H22" s="8">
        <f t="shared" si="1"/>
        <v>400</v>
      </c>
      <c r="I22" s="1">
        <v>2</v>
      </c>
      <c r="J22" s="8">
        <f t="shared" si="2"/>
        <v>400</v>
      </c>
      <c r="K22" s="1">
        <v>1</v>
      </c>
      <c r="L22" s="8">
        <f t="shared" si="3"/>
        <v>200</v>
      </c>
      <c r="M22" s="1">
        <f t="shared" si="4"/>
        <v>6</v>
      </c>
      <c r="N22" s="8">
        <f t="shared" si="5"/>
        <v>1200</v>
      </c>
    </row>
    <row r="23" spans="1:14">
      <c r="A23" s="38" t="s">
        <v>69</v>
      </c>
      <c r="B23" s="1" t="s">
        <v>70</v>
      </c>
      <c r="C23" s="1" t="s">
        <v>66</v>
      </c>
      <c r="D23" s="8">
        <v>2</v>
      </c>
      <c r="E23" s="1">
        <v>481</v>
      </c>
      <c r="F23" s="39">
        <f t="shared" si="0"/>
        <v>962</v>
      </c>
      <c r="G23" s="1">
        <v>1126</v>
      </c>
      <c r="H23" s="8">
        <f t="shared" si="1"/>
        <v>2252</v>
      </c>
      <c r="I23" s="1">
        <v>3350</v>
      </c>
      <c r="J23" s="8">
        <f t="shared" si="2"/>
        <v>6700</v>
      </c>
      <c r="K23" s="1">
        <v>8110</v>
      </c>
      <c r="L23" s="8">
        <f t="shared" si="3"/>
        <v>16220</v>
      </c>
      <c r="M23" s="1">
        <f t="shared" si="4"/>
        <v>13067</v>
      </c>
      <c r="N23" s="8">
        <f t="shared" si="5"/>
        <v>26134</v>
      </c>
    </row>
    <row r="24" spans="1:14">
      <c r="A24" s="38" t="s">
        <v>71</v>
      </c>
      <c r="B24" s="1" t="s">
        <v>72</v>
      </c>
      <c r="C24" s="1" t="s">
        <v>73</v>
      </c>
      <c r="D24" s="8">
        <v>10</v>
      </c>
      <c r="E24" s="1">
        <v>3</v>
      </c>
      <c r="F24" s="39">
        <f t="shared" si="0"/>
        <v>30</v>
      </c>
      <c r="G24" s="1">
        <v>6</v>
      </c>
      <c r="H24" s="8">
        <f t="shared" si="1"/>
        <v>60</v>
      </c>
      <c r="I24" s="1">
        <v>17</v>
      </c>
      <c r="J24" s="8">
        <f t="shared" si="2"/>
        <v>170</v>
      </c>
      <c r="K24" s="1">
        <v>63</v>
      </c>
      <c r="L24" s="8">
        <f t="shared" si="3"/>
        <v>630</v>
      </c>
      <c r="M24" s="1">
        <f t="shared" si="4"/>
        <v>89</v>
      </c>
      <c r="N24" s="8">
        <f t="shared" si="5"/>
        <v>890</v>
      </c>
    </row>
    <row r="25" spans="1:14">
      <c r="A25" s="38" t="s">
        <v>74</v>
      </c>
      <c r="B25" s="1" t="s">
        <v>63</v>
      </c>
      <c r="C25" s="1" t="s">
        <v>34</v>
      </c>
      <c r="D25" s="8">
        <v>1</v>
      </c>
      <c r="E25" s="1">
        <v>2000</v>
      </c>
      <c r="F25" s="39">
        <f t="shared" si="0"/>
        <v>2000</v>
      </c>
      <c r="G25" s="1">
        <v>5000</v>
      </c>
      <c r="H25" s="8">
        <f t="shared" si="1"/>
        <v>5000</v>
      </c>
      <c r="I25" s="1">
        <v>5000</v>
      </c>
      <c r="J25" s="8">
        <f t="shared" si="2"/>
        <v>5000</v>
      </c>
      <c r="K25" s="1">
        <v>5000</v>
      </c>
      <c r="L25" s="8">
        <f t="shared" si="3"/>
        <v>5000</v>
      </c>
      <c r="M25" s="1">
        <f t="shared" si="4"/>
        <v>17000</v>
      </c>
      <c r="N25" s="8">
        <f t="shared" si="5"/>
        <v>17000</v>
      </c>
    </row>
    <row r="26" spans="1:14">
      <c r="A26" s="38" t="s">
        <v>60</v>
      </c>
      <c r="B26" s="1" t="s">
        <v>75</v>
      </c>
      <c r="C26" s="1" t="s">
        <v>31</v>
      </c>
      <c r="D26" s="8">
        <v>15000</v>
      </c>
      <c r="E26" s="1">
        <v>0.25</v>
      </c>
      <c r="F26" s="1">
        <f t="shared" si="0"/>
        <v>3750</v>
      </c>
      <c r="G26" s="1">
        <v>0.25</v>
      </c>
      <c r="H26" s="1">
        <f t="shared" si="1"/>
        <v>3750</v>
      </c>
      <c r="I26" s="1">
        <v>0.25</v>
      </c>
      <c r="J26" s="1">
        <f t="shared" si="2"/>
        <v>3750</v>
      </c>
      <c r="K26" s="1">
        <v>0.25</v>
      </c>
      <c r="L26" s="1">
        <f t="shared" si="3"/>
        <v>3750</v>
      </c>
      <c r="M26" s="1">
        <f t="shared" si="4"/>
        <v>1</v>
      </c>
      <c r="N26" s="1">
        <f t="shared" si="5"/>
        <v>15000</v>
      </c>
    </row>
    <row r="27" spans="1:14">
      <c r="A27" s="76" t="s">
        <v>76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</row>
    <row r="28" spans="1:14">
      <c r="A28" s="38" t="s">
        <v>77</v>
      </c>
      <c r="B28" s="1" t="s">
        <v>78</v>
      </c>
      <c r="C28" s="1" t="s">
        <v>47</v>
      </c>
      <c r="D28" s="8">
        <v>3500</v>
      </c>
      <c r="E28" s="1">
        <v>0.21</v>
      </c>
      <c r="F28" s="39">
        <f t="shared" si="0"/>
        <v>735</v>
      </c>
      <c r="G28" s="1">
        <v>0.46</v>
      </c>
      <c r="H28" s="8">
        <f t="shared" si="1"/>
        <v>1610</v>
      </c>
      <c r="I28" s="1">
        <v>0.6</v>
      </c>
      <c r="J28" s="8">
        <f t="shared" si="2"/>
        <v>2100</v>
      </c>
      <c r="K28" s="1">
        <v>1.0900000000000001</v>
      </c>
      <c r="L28" s="8">
        <f t="shared" si="3"/>
        <v>3815.0000000000005</v>
      </c>
      <c r="M28" s="1">
        <f t="shared" si="4"/>
        <v>2.3600000000000003</v>
      </c>
      <c r="N28" s="8">
        <f t="shared" si="5"/>
        <v>8260.0000000000018</v>
      </c>
    </row>
    <row r="29" spans="1:14">
      <c r="A29" s="38"/>
      <c r="B29" s="1" t="s">
        <v>79</v>
      </c>
      <c r="C29" s="1" t="s">
        <v>28</v>
      </c>
      <c r="D29" s="8">
        <v>120</v>
      </c>
      <c r="E29" s="1"/>
      <c r="F29" s="39">
        <f t="shared" si="0"/>
        <v>0</v>
      </c>
      <c r="G29" s="1"/>
      <c r="H29" s="8">
        <f t="shared" si="1"/>
        <v>0</v>
      </c>
      <c r="I29" s="1"/>
      <c r="J29" s="8">
        <f t="shared" si="2"/>
        <v>0</v>
      </c>
      <c r="K29" s="1">
        <v>116</v>
      </c>
      <c r="L29" s="8">
        <f t="shared" si="3"/>
        <v>13920</v>
      </c>
      <c r="M29" s="1">
        <f t="shared" si="4"/>
        <v>116</v>
      </c>
      <c r="N29" s="8">
        <f t="shared" si="5"/>
        <v>13920</v>
      </c>
    </row>
    <row r="30" spans="1:14">
      <c r="A30" s="38" t="s">
        <v>80</v>
      </c>
      <c r="B30" s="1" t="s">
        <v>81</v>
      </c>
      <c r="C30" s="1" t="s">
        <v>28</v>
      </c>
      <c r="D30" s="8">
        <v>100</v>
      </c>
      <c r="E30" s="1"/>
      <c r="F30" s="39">
        <f t="shared" si="0"/>
        <v>0</v>
      </c>
      <c r="G30" s="1"/>
      <c r="H30" s="8">
        <f t="shared" si="1"/>
        <v>0</v>
      </c>
      <c r="I30" s="1">
        <v>1700</v>
      </c>
      <c r="J30" s="8">
        <f t="shared" si="2"/>
        <v>170000</v>
      </c>
      <c r="K30" s="1"/>
      <c r="L30" s="8">
        <f t="shared" si="3"/>
        <v>0</v>
      </c>
      <c r="M30" s="1">
        <f t="shared" si="4"/>
        <v>1700</v>
      </c>
      <c r="N30" s="8">
        <f t="shared" si="5"/>
        <v>170000</v>
      </c>
    </row>
    <row r="31" spans="1:14">
      <c r="A31" s="38" t="s">
        <v>80</v>
      </c>
      <c r="B31" s="1" t="s">
        <v>82</v>
      </c>
      <c r="C31" s="1" t="s">
        <v>28</v>
      </c>
      <c r="D31" s="8">
        <v>100</v>
      </c>
      <c r="E31" s="1">
        <v>801</v>
      </c>
      <c r="F31" s="39">
        <f t="shared" si="0"/>
        <v>80100</v>
      </c>
      <c r="G31" s="1">
        <v>0</v>
      </c>
      <c r="H31" s="8">
        <f t="shared" si="1"/>
        <v>0</v>
      </c>
      <c r="I31" s="1">
        <v>264</v>
      </c>
      <c r="J31" s="8">
        <f t="shared" si="2"/>
        <v>26400</v>
      </c>
      <c r="K31" s="1">
        <v>0</v>
      </c>
      <c r="L31" s="8">
        <f t="shared" si="3"/>
        <v>0</v>
      </c>
      <c r="M31" s="1">
        <f t="shared" si="4"/>
        <v>1065</v>
      </c>
      <c r="N31" s="8">
        <f t="shared" si="5"/>
        <v>106500</v>
      </c>
    </row>
    <row r="32" spans="1:14">
      <c r="A32" s="38" t="s">
        <v>80</v>
      </c>
      <c r="B32" s="1" t="s">
        <v>83</v>
      </c>
      <c r="C32" s="1" t="s">
        <v>28</v>
      </c>
      <c r="D32" s="8">
        <v>100</v>
      </c>
      <c r="E32" s="1">
        <v>58</v>
      </c>
      <c r="F32" s="39">
        <f t="shared" si="0"/>
        <v>5800</v>
      </c>
      <c r="G32" s="1">
        <v>789</v>
      </c>
      <c r="H32" s="8">
        <f t="shared" si="1"/>
        <v>78900</v>
      </c>
      <c r="I32" s="1"/>
      <c r="J32" s="8">
        <f t="shared" si="2"/>
        <v>0</v>
      </c>
      <c r="K32" s="1"/>
      <c r="L32" s="8">
        <f t="shared" si="3"/>
        <v>0</v>
      </c>
      <c r="M32" s="1">
        <f t="shared" si="4"/>
        <v>847</v>
      </c>
      <c r="N32" s="8">
        <f t="shared" si="5"/>
        <v>84700</v>
      </c>
    </row>
    <row r="33" spans="1:14">
      <c r="A33" s="38" t="s">
        <v>84</v>
      </c>
      <c r="B33" s="1" t="s">
        <v>85</v>
      </c>
      <c r="C33" s="1" t="s">
        <v>28</v>
      </c>
      <c r="D33" s="8">
        <v>120</v>
      </c>
      <c r="E33" s="1"/>
      <c r="F33" s="39">
        <f t="shared" si="0"/>
        <v>0</v>
      </c>
      <c r="G33" s="1"/>
      <c r="H33" s="8">
        <f t="shared" si="1"/>
        <v>0</v>
      </c>
      <c r="I33" s="1"/>
      <c r="J33" s="8">
        <f t="shared" si="2"/>
        <v>0</v>
      </c>
      <c r="K33" s="1">
        <v>1392</v>
      </c>
      <c r="L33" s="8">
        <f t="shared" si="3"/>
        <v>167040</v>
      </c>
      <c r="M33" s="1">
        <f t="shared" si="4"/>
        <v>1392</v>
      </c>
      <c r="N33" s="8">
        <f t="shared" si="5"/>
        <v>167040</v>
      </c>
    </row>
    <row r="34" spans="1:14">
      <c r="A34" s="38" t="s">
        <v>84</v>
      </c>
      <c r="B34" s="1" t="s">
        <v>86</v>
      </c>
      <c r="C34" s="1" t="s">
        <v>28</v>
      </c>
      <c r="D34" s="8">
        <v>150</v>
      </c>
      <c r="E34" s="1"/>
      <c r="F34" s="39">
        <f t="shared" si="0"/>
        <v>0</v>
      </c>
      <c r="G34" s="1"/>
      <c r="H34" s="8">
        <f t="shared" si="1"/>
        <v>0</v>
      </c>
      <c r="I34" s="1"/>
      <c r="J34" s="8">
        <f t="shared" si="2"/>
        <v>0</v>
      </c>
      <c r="K34" s="1"/>
      <c r="L34" s="8">
        <f t="shared" si="3"/>
        <v>0</v>
      </c>
      <c r="M34" s="1">
        <f t="shared" si="4"/>
        <v>0</v>
      </c>
      <c r="N34" s="8">
        <f t="shared" si="5"/>
        <v>0</v>
      </c>
    </row>
    <row r="35" spans="1:14">
      <c r="A35" s="38" t="s">
        <v>87</v>
      </c>
      <c r="B35" s="1" t="s">
        <v>88</v>
      </c>
      <c r="C35" s="1" t="s">
        <v>28</v>
      </c>
      <c r="D35" s="8">
        <v>120</v>
      </c>
      <c r="E35" s="1"/>
      <c r="F35" s="39">
        <f t="shared" si="0"/>
        <v>0</v>
      </c>
      <c r="G35" s="1"/>
      <c r="H35" s="8">
        <f t="shared" si="1"/>
        <v>0</v>
      </c>
      <c r="I35" s="1"/>
      <c r="J35" s="8">
        <f t="shared" si="2"/>
        <v>0</v>
      </c>
      <c r="K35" s="1">
        <v>0</v>
      </c>
      <c r="L35" s="8">
        <f t="shared" si="3"/>
        <v>0</v>
      </c>
      <c r="M35" s="1">
        <f t="shared" si="4"/>
        <v>0</v>
      </c>
      <c r="N35" s="8">
        <f t="shared" si="5"/>
        <v>0</v>
      </c>
    </row>
    <row r="36" spans="1:14">
      <c r="A36" s="38" t="s">
        <v>87</v>
      </c>
      <c r="B36" s="1" t="s">
        <v>89</v>
      </c>
      <c r="C36" s="1" t="s">
        <v>28</v>
      </c>
      <c r="D36" s="8">
        <v>150</v>
      </c>
      <c r="E36" s="1"/>
      <c r="F36" s="39">
        <f t="shared" si="0"/>
        <v>0</v>
      </c>
      <c r="G36" s="1">
        <v>133</v>
      </c>
      <c r="H36" s="8">
        <f t="shared" si="1"/>
        <v>19950</v>
      </c>
      <c r="I36" s="1"/>
      <c r="J36" s="8">
        <f t="shared" si="2"/>
        <v>0</v>
      </c>
      <c r="K36" s="1"/>
      <c r="L36" s="8">
        <f t="shared" si="3"/>
        <v>0</v>
      </c>
      <c r="M36" s="1">
        <f t="shared" si="4"/>
        <v>133</v>
      </c>
      <c r="N36" s="8">
        <f t="shared" si="5"/>
        <v>19950</v>
      </c>
    </row>
    <row r="37" spans="1:14">
      <c r="A37" s="38" t="s">
        <v>90</v>
      </c>
      <c r="B37" s="1" t="s">
        <v>91</v>
      </c>
      <c r="C37" s="1" t="s">
        <v>28</v>
      </c>
      <c r="D37" s="8">
        <v>150</v>
      </c>
      <c r="E37" s="1"/>
      <c r="F37" s="39">
        <f t="shared" si="0"/>
        <v>0</v>
      </c>
      <c r="G37" s="1">
        <v>62</v>
      </c>
      <c r="H37" s="8">
        <f t="shared" si="1"/>
        <v>9300</v>
      </c>
      <c r="I37" s="1"/>
      <c r="J37" s="8">
        <f t="shared" si="2"/>
        <v>0</v>
      </c>
      <c r="K37" s="1">
        <v>967</v>
      </c>
      <c r="L37" s="8">
        <f t="shared" si="3"/>
        <v>145050</v>
      </c>
      <c r="M37" s="1">
        <f t="shared" si="4"/>
        <v>1029</v>
      </c>
      <c r="N37" s="8">
        <f t="shared" si="5"/>
        <v>154350</v>
      </c>
    </row>
    <row r="38" spans="1:14">
      <c r="A38" s="38" t="s">
        <v>92</v>
      </c>
      <c r="B38" s="1" t="s">
        <v>93</v>
      </c>
      <c r="C38" s="1" t="s">
        <v>28</v>
      </c>
      <c r="D38" s="8">
        <v>150</v>
      </c>
      <c r="E38" s="1"/>
      <c r="F38" s="39">
        <f t="shared" si="0"/>
        <v>0</v>
      </c>
      <c r="G38" s="1"/>
      <c r="H38" s="8">
        <f t="shared" si="1"/>
        <v>0</v>
      </c>
      <c r="I38" s="1"/>
      <c r="J38" s="8">
        <f t="shared" si="2"/>
        <v>0</v>
      </c>
      <c r="K38" s="1">
        <v>1180</v>
      </c>
      <c r="L38" s="8">
        <f t="shared" si="3"/>
        <v>177000</v>
      </c>
      <c r="M38" s="1">
        <f t="shared" si="4"/>
        <v>1180</v>
      </c>
      <c r="N38" s="8">
        <f t="shared" si="5"/>
        <v>177000</v>
      </c>
    </row>
    <row r="39" spans="1:14">
      <c r="A39" s="38" t="s">
        <v>92</v>
      </c>
      <c r="B39" s="1" t="s">
        <v>94</v>
      </c>
      <c r="C39" s="1" t="s">
        <v>28</v>
      </c>
      <c r="D39" s="8">
        <v>175</v>
      </c>
      <c r="E39" s="1"/>
      <c r="F39" s="39">
        <f t="shared" si="0"/>
        <v>0</v>
      </c>
      <c r="G39" s="1"/>
      <c r="H39" s="8">
        <f t="shared" si="1"/>
        <v>0</v>
      </c>
      <c r="I39" s="1"/>
      <c r="J39" s="8">
        <f t="shared" si="2"/>
        <v>0</v>
      </c>
      <c r="K39" s="1"/>
      <c r="L39" s="8">
        <f t="shared" si="3"/>
        <v>0</v>
      </c>
      <c r="M39" s="1">
        <f t="shared" si="4"/>
        <v>0</v>
      </c>
      <c r="N39" s="8">
        <f t="shared" si="5"/>
        <v>0</v>
      </c>
    </row>
    <row r="40" spans="1:14">
      <c r="A40" s="38" t="s">
        <v>95</v>
      </c>
      <c r="B40" s="1" t="s">
        <v>96</v>
      </c>
      <c r="C40" s="1" t="s">
        <v>28</v>
      </c>
      <c r="D40" s="8">
        <v>210</v>
      </c>
      <c r="E40" s="1"/>
      <c r="F40" s="39">
        <f t="shared" si="0"/>
        <v>0</v>
      </c>
      <c r="G40" s="1"/>
      <c r="H40" s="8">
        <f t="shared" si="1"/>
        <v>0</v>
      </c>
      <c r="I40" s="1">
        <v>2519</v>
      </c>
      <c r="J40" s="8">
        <f t="shared" si="2"/>
        <v>528990</v>
      </c>
      <c r="K40" s="1"/>
      <c r="L40" s="8">
        <f t="shared" si="3"/>
        <v>0</v>
      </c>
      <c r="M40" s="1">
        <f t="shared" si="4"/>
        <v>2519</v>
      </c>
      <c r="N40" s="8">
        <f t="shared" si="5"/>
        <v>528990</v>
      </c>
    </row>
    <row r="41" spans="1:14">
      <c r="A41" s="38" t="s">
        <v>97</v>
      </c>
      <c r="B41" s="1" t="s">
        <v>98</v>
      </c>
      <c r="C41" s="1" t="s">
        <v>28</v>
      </c>
      <c r="D41" s="8">
        <v>185</v>
      </c>
      <c r="E41" s="1"/>
      <c r="F41" s="39">
        <f t="shared" si="0"/>
        <v>0</v>
      </c>
      <c r="G41" s="1"/>
      <c r="H41" s="8">
        <f t="shared" si="1"/>
        <v>0</v>
      </c>
      <c r="I41" s="1">
        <v>34</v>
      </c>
      <c r="J41" s="8">
        <f t="shared" si="2"/>
        <v>6290</v>
      </c>
      <c r="K41" s="1"/>
      <c r="L41" s="8">
        <f t="shared" si="3"/>
        <v>0</v>
      </c>
      <c r="M41" s="1">
        <f t="shared" si="4"/>
        <v>34</v>
      </c>
      <c r="N41" s="8">
        <f t="shared" si="5"/>
        <v>6290</v>
      </c>
    </row>
    <row r="42" spans="1:14">
      <c r="A42" s="38" t="s">
        <v>99</v>
      </c>
      <c r="B42" s="1" t="s">
        <v>100</v>
      </c>
      <c r="C42" s="1" t="s">
        <v>28</v>
      </c>
      <c r="D42" s="8">
        <v>240</v>
      </c>
      <c r="E42" s="1"/>
      <c r="F42" s="39">
        <f t="shared" si="0"/>
        <v>0</v>
      </c>
      <c r="G42" s="1"/>
      <c r="H42" s="8">
        <f t="shared" si="1"/>
        <v>0</v>
      </c>
      <c r="I42" s="1"/>
      <c r="J42" s="8">
        <f t="shared" si="2"/>
        <v>0</v>
      </c>
      <c r="K42" s="1">
        <v>1631</v>
      </c>
      <c r="L42" s="8">
        <f t="shared" si="3"/>
        <v>391440</v>
      </c>
      <c r="M42" s="1">
        <f t="shared" si="4"/>
        <v>1631</v>
      </c>
      <c r="N42" s="8">
        <f t="shared" si="5"/>
        <v>391440</v>
      </c>
    </row>
    <row r="43" spans="1:14">
      <c r="A43" s="40" t="s">
        <v>101</v>
      </c>
      <c r="B43" s="1" t="s">
        <v>102</v>
      </c>
      <c r="C43" s="1" t="s">
        <v>28</v>
      </c>
      <c r="D43" s="8">
        <v>500</v>
      </c>
      <c r="E43" s="1"/>
      <c r="F43" s="39">
        <f t="shared" si="0"/>
        <v>0</v>
      </c>
      <c r="G43" s="1">
        <v>93</v>
      </c>
      <c r="H43" s="8">
        <f t="shared" si="1"/>
        <v>46500</v>
      </c>
      <c r="I43" s="1"/>
      <c r="J43" s="8">
        <f t="shared" si="2"/>
        <v>0</v>
      </c>
      <c r="K43" s="1"/>
      <c r="L43" s="8">
        <f t="shared" si="3"/>
        <v>0</v>
      </c>
      <c r="M43" s="1">
        <f t="shared" si="4"/>
        <v>93</v>
      </c>
      <c r="N43" s="8">
        <f t="shared" si="5"/>
        <v>46500</v>
      </c>
    </row>
    <row r="44" spans="1:14">
      <c r="A44" s="38" t="s">
        <v>103</v>
      </c>
      <c r="B44" s="1" t="s">
        <v>104</v>
      </c>
      <c r="C44" s="1" t="s">
        <v>34</v>
      </c>
      <c r="D44" s="8">
        <v>5000</v>
      </c>
      <c r="E44" s="1"/>
      <c r="F44" s="39">
        <f t="shared" si="0"/>
        <v>0</v>
      </c>
      <c r="G44" s="1"/>
      <c r="H44" s="8">
        <f t="shared" si="1"/>
        <v>0</v>
      </c>
      <c r="I44" s="1"/>
      <c r="J44" s="8">
        <f t="shared" si="2"/>
        <v>0</v>
      </c>
      <c r="K44" s="1">
        <v>2</v>
      </c>
      <c r="L44" s="8">
        <f t="shared" si="3"/>
        <v>10000</v>
      </c>
      <c r="M44" s="1">
        <f t="shared" si="4"/>
        <v>2</v>
      </c>
      <c r="N44" s="8">
        <f t="shared" si="5"/>
        <v>10000</v>
      </c>
    </row>
    <row r="45" spans="1:14">
      <c r="A45" s="38" t="s">
        <v>105</v>
      </c>
      <c r="B45" s="1" t="s">
        <v>106</v>
      </c>
      <c r="C45" s="1" t="s">
        <v>34</v>
      </c>
      <c r="D45" s="8">
        <v>2000</v>
      </c>
      <c r="E45" s="1">
        <v>3</v>
      </c>
      <c r="F45" s="39">
        <f t="shared" si="0"/>
        <v>6000</v>
      </c>
      <c r="G45" s="1">
        <v>2</v>
      </c>
      <c r="H45" s="8">
        <f t="shared" si="1"/>
        <v>4000</v>
      </c>
      <c r="I45" s="1">
        <v>4</v>
      </c>
      <c r="J45" s="8">
        <f t="shared" si="2"/>
        <v>8000</v>
      </c>
      <c r="K45" s="1">
        <v>9</v>
      </c>
      <c r="L45" s="8">
        <f t="shared" si="3"/>
        <v>18000</v>
      </c>
      <c r="M45" s="1">
        <f t="shared" si="4"/>
        <v>18</v>
      </c>
      <c r="N45" s="8">
        <f t="shared" si="5"/>
        <v>36000</v>
      </c>
    </row>
    <row r="46" spans="1:14">
      <c r="A46" s="38" t="s">
        <v>107</v>
      </c>
      <c r="B46" s="1" t="s">
        <v>108</v>
      </c>
      <c r="C46" s="1" t="s">
        <v>34</v>
      </c>
      <c r="D46" s="8">
        <v>3500</v>
      </c>
      <c r="E46" s="1"/>
      <c r="F46" s="39">
        <f t="shared" si="0"/>
        <v>0</v>
      </c>
      <c r="G46" s="1">
        <v>1</v>
      </c>
      <c r="H46" s="8">
        <f t="shared" si="1"/>
        <v>3500</v>
      </c>
      <c r="I46" s="1"/>
      <c r="J46" s="8">
        <f t="shared" si="2"/>
        <v>0</v>
      </c>
      <c r="K46" s="1">
        <v>3</v>
      </c>
      <c r="L46" s="8">
        <f t="shared" si="3"/>
        <v>10500</v>
      </c>
      <c r="M46" s="1">
        <f t="shared" si="4"/>
        <v>4</v>
      </c>
      <c r="N46" s="8">
        <f t="shared" si="5"/>
        <v>14000</v>
      </c>
    </row>
    <row r="47" spans="1:14">
      <c r="A47" s="38" t="s">
        <v>109</v>
      </c>
      <c r="B47" s="1" t="s">
        <v>110</v>
      </c>
      <c r="C47" s="1" t="s">
        <v>34</v>
      </c>
      <c r="D47" s="8">
        <v>4000</v>
      </c>
      <c r="E47" s="1"/>
      <c r="F47" s="39">
        <f t="shared" si="0"/>
        <v>0</v>
      </c>
      <c r="G47" s="1"/>
      <c r="H47" s="8">
        <f t="shared" si="1"/>
        <v>0</v>
      </c>
      <c r="I47" s="1">
        <v>9</v>
      </c>
      <c r="J47" s="8">
        <f t="shared" si="2"/>
        <v>36000</v>
      </c>
      <c r="K47" s="1"/>
      <c r="L47" s="8">
        <f t="shared" si="3"/>
        <v>0</v>
      </c>
      <c r="M47" s="1">
        <f t="shared" si="4"/>
        <v>9</v>
      </c>
      <c r="N47" s="8">
        <f t="shared" si="5"/>
        <v>36000</v>
      </c>
    </row>
    <row r="48" spans="1:14">
      <c r="A48" s="38" t="s">
        <v>111</v>
      </c>
      <c r="B48" s="1" t="s">
        <v>112</v>
      </c>
      <c r="C48" s="1" t="s">
        <v>34</v>
      </c>
      <c r="D48" s="8">
        <v>6000</v>
      </c>
      <c r="E48" s="1"/>
      <c r="F48" s="39">
        <f t="shared" si="0"/>
        <v>0</v>
      </c>
      <c r="G48" s="1"/>
      <c r="H48" s="8">
        <f t="shared" si="1"/>
        <v>0</v>
      </c>
      <c r="I48" s="1"/>
      <c r="J48" s="8">
        <f t="shared" si="2"/>
        <v>0</v>
      </c>
      <c r="K48" s="1">
        <v>7</v>
      </c>
      <c r="L48" s="8">
        <f t="shared" si="3"/>
        <v>42000</v>
      </c>
      <c r="M48" s="1">
        <f t="shared" si="4"/>
        <v>7</v>
      </c>
      <c r="N48" s="8">
        <f t="shared" si="5"/>
        <v>42000</v>
      </c>
    </row>
    <row r="49" spans="1:14">
      <c r="A49" s="40" t="s">
        <v>113</v>
      </c>
      <c r="B49" s="1" t="s">
        <v>114</v>
      </c>
      <c r="C49" s="1" t="s">
        <v>28</v>
      </c>
      <c r="D49" s="8">
        <v>35</v>
      </c>
      <c r="E49" s="1">
        <v>50</v>
      </c>
      <c r="F49" s="39">
        <f t="shared" si="0"/>
        <v>1750</v>
      </c>
      <c r="G49" s="1">
        <v>50</v>
      </c>
      <c r="H49" s="8">
        <f t="shared" si="1"/>
        <v>1750</v>
      </c>
      <c r="I49" s="1">
        <v>50</v>
      </c>
      <c r="J49" s="8">
        <f t="shared" si="2"/>
        <v>1750</v>
      </c>
      <c r="K49" s="1">
        <v>50</v>
      </c>
      <c r="L49" s="8">
        <f t="shared" si="3"/>
        <v>1750</v>
      </c>
      <c r="M49" s="1">
        <f t="shared" si="4"/>
        <v>200</v>
      </c>
      <c r="N49" s="8">
        <f t="shared" si="5"/>
        <v>7000</v>
      </c>
    </row>
    <row r="50" spans="1:14">
      <c r="A50" s="38" t="s">
        <v>115</v>
      </c>
      <c r="B50" s="1" t="s">
        <v>116</v>
      </c>
      <c r="C50" s="1" t="s">
        <v>28</v>
      </c>
      <c r="D50" s="8">
        <v>40</v>
      </c>
      <c r="E50" s="1">
        <v>50</v>
      </c>
      <c r="F50" s="39">
        <f t="shared" si="0"/>
        <v>2000</v>
      </c>
      <c r="G50" s="1">
        <v>50</v>
      </c>
      <c r="H50" s="8">
        <f t="shared" si="1"/>
        <v>2000</v>
      </c>
      <c r="I50" s="1">
        <v>50</v>
      </c>
      <c r="J50" s="8">
        <f t="shared" si="2"/>
        <v>2000</v>
      </c>
      <c r="K50" s="1">
        <v>50</v>
      </c>
      <c r="L50" s="8">
        <f t="shared" si="3"/>
        <v>2000</v>
      </c>
      <c r="M50" s="1">
        <f t="shared" si="4"/>
        <v>200</v>
      </c>
      <c r="N50" s="8">
        <f t="shared" si="5"/>
        <v>8000</v>
      </c>
    </row>
    <row r="51" spans="1:14">
      <c r="A51" s="38" t="s">
        <v>117</v>
      </c>
      <c r="B51" s="1" t="s">
        <v>118</v>
      </c>
      <c r="C51" s="1" t="s">
        <v>28</v>
      </c>
      <c r="D51" s="8">
        <v>50</v>
      </c>
      <c r="E51" s="1">
        <v>50</v>
      </c>
      <c r="F51" s="39">
        <f t="shared" si="0"/>
        <v>2500</v>
      </c>
      <c r="G51" s="1">
        <v>50</v>
      </c>
      <c r="H51" s="8">
        <f t="shared" si="1"/>
        <v>2500</v>
      </c>
      <c r="I51" s="1">
        <v>50</v>
      </c>
      <c r="J51" s="8">
        <f t="shared" si="2"/>
        <v>2500</v>
      </c>
      <c r="K51" s="1">
        <v>50</v>
      </c>
      <c r="L51" s="8">
        <f t="shared" si="3"/>
        <v>2500</v>
      </c>
      <c r="M51" s="1">
        <f t="shared" si="4"/>
        <v>200</v>
      </c>
      <c r="N51" s="8">
        <f t="shared" si="5"/>
        <v>10000</v>
      </c>
    </row>
    <row r="52" spans="1:14">
      <c r="A52" s="38" t="s">
        <v>60</v>
      </c>
      <c r="B52" s="1" t="s">
        <v>119</v>
      </c>
      <c r="C52" s="1" t="s">
        <v>28</v>
      </c>
      <c r="D52" s="8">
        <v>20</v>
      </c>
      <c r="E52" s="1"/>
      <c r="F52" s="39">
        <f t="shared" si="0"/>
        <v>0</v>
      </c>
      <c r="G52" s="1">
        <v>2367</v>
      </c>
      <c r="H52" s="8">
        <f t="shared" si="1"/>
        <v>47340</v>
      </c>
      <c r="I52" s="1">
        <v>585</v>
      </c>
      <c r="J52" s="8">
        <f t="shared" si="2"/>
        <v>11700</v>
      </c>
      <c r="K52" s="1"/>
      <c r="L52" s="8">
        <f t="shared" si="3"/>
        <v>0</v>
      </c>
      <c r="M52" s="1">
        <f t="shared" si="4"/>
        <v>2952</v>
      </c>
      <c r="N52" s="8">
        <f t="shared" si="5"/>
        <v>59040</v>
      </c>
    </row>
    <row r="53" spans="1:14">
      <c r="A53" s="76" t="s">
        <v>120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8"/>
    </row>
    <row r="54" spans="1:14">
      <c r="A54" s="38" t="s">
        <v>121</v>
      </c>
      <c r="B54" s="1" t="s">
        <v>122</v>
      </c>
      <c r="C54" s="1" t="s">
        <v>66</v>
      </c>
      <c r="D54" s="8">
        <v>150</v>
      </c>
      <c r="E54" s="1"/>
      <c r="F54" s="39">
        <f t="shared" si="0"/>
        <v>0</v>
      </c>
      <c r="G54" s="1">
        <v>14</v>
      </c>
      <c r="H54" s="8">
        <f t="shared" si="1"/>
        <v>2100</v>
      </c>
      <c r="I54" s="1"/>
      <c r="J54" s="8">
        <f t="shared" si="2"/>
        <v>0</v>
      </c>
      <c r="K54" s="1"/>
      <c r="L54" s="8">
        <f t="shared" si="3"/>
        <v>0</v>
      </c>
      <c r="M54" s="1">
        <f t="shared" si="4"/>
        <v>14</v>
      </c>
      <c r="N54" s="8">
        <f t="shared" si="5"/>
        <v>2100</v>
      </c>
    </row>
    <row r="55" spans="1:14">
      <c r="A55" s="38" t="s">
        <v>121</v>
      </c>
      <c r="B55" s="1" t="s">
        <v>123</v>
      </c>
      <c r="C55" s="1" t="s">
        <v>66</v>
      </c>
      <c r="D55" s="8">
        <v>100</v>
      </c>
      <c r="E55" s="1">
        <v>6</v>
      </c>
      <c r="F55" s="39">
        <f t="shared" si="0"/>
        <v>600</v>
      </c>
      <c r="G55" s="1">
        <v>12</v>
      </c>
      <c r="H55" s="8">
        <f t="shared" si="1"/>
        <v>1200</v>
      </c>
      <c r="I55" s="1">
        <v>163</v>
      </c>
      <c r="J55" s="8">
        <f t="shared" si="2"/>
        <v>16300</v>
      </c>
      <c r="K55" s="1">
        <v>74</v>
      </c>
      <c r="L55" s="8">
        <f t="shared" si="3"/>
        <v>7400</v>
      </c>
      <c r="M55" s="1">
        <f t="shared" si="4"/>
        <v>255</v>
      </c>
      <c r="N55" s="8">
        <f t="shared" si="5"/>
        <v>25500</v>
      </c>
    </row>
    <row r="56" spans="1:14">
      <c r="A56" s="76" t="s">
        <v>124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8"/>
    </row>
    <row r="57" spans="1:14">
      <c r="A57" s="38" t="s">
        <v>125</v>
      </c>
      <c r="B57" s="1" t="s">
        <v>126</v>
      </c>
      <c r="C57" s="1" t="s">
        <v>34</v>
      </c>
      <c r="D57" s="8">
        <v>75</v>
      </c>
      <c r="E57" s="1"/>
      <c r="F57" s="39">
        <f t="shared" si="0"/>
        <v>0</v>
      </c>
      <c r="G57" s="1">
        <v>2</v>
      </c>
      <c r="H57" s="8">
        <f t="shared" si="1"/>
        <v>150</v>
      </c>
      <c r="I57" s="1"/>
      <c r="J57" s="8">
        <f t="shared" si="2"/>
        <v>0</v>
      </c>
      <c r="K57" s="1"/>
      <c r="L57" s="8">
        <f t="shared" si="3"/>
        <v>0</v>
      </c>
      <c r="M57" s="1">
        <f t="shared" si="4"/>
        <v>2</v>
      </c>
      <c r="N57" s="8">
        <f t="shared" si="5"/>
        <v>150</v>
      </c>
    </row>
    <row r="58" spans="1:14">
      <c r="A58" s="76" t="s">
        <v>127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8"/>
    </row>
    <row r="59" spans="1:14">
      <c r="A59" s="38" t="s">
        <v>128</v>
      </c>
      <c r="B59" s="1" t="s">
        <v>129</v>
      </c>
      <c r="C59" s="1" t="s">
        <v>31</v>
      </c>
      <c r="D59" s="8">
        <v>8000</v>
      </c>
      <c r="E59" s="1">
        <v>0.25</v>
      </c>
      <c r="F59" s="39">
        <f t="shared" si="0"/>
        <v>2000</v>
      </c>
      <c r="G59" s="1">
        <v>0.25</v>
      </c>
      <c r="H59" s="8">
        <f t="shared" si="1"/>
        <v>2000</v>
      </c>
      <c r="I59" s="1">
        <v>0.25</v>
      </c>
      <c r="J59" s="8">
        <f t="shared" si="2"/>
        <v>2000</v>
      </c>
      <c r="K59" s="1">
        <v>0.25</v>
      </c>
      <c r="L59" s="8">
        <f t="shared" si="3"/>
        <v>2000</v>
      </c>
      <c r="M59" s="1">
        <f t="shared" si="4"/>
        <v>1</v>
      </c>
      <c r="N59" s="8">
        <f t="shared" si="5"/>
        <v>8000</v>
      </c>
    </row>
    <row r="60" spans="1:14">
      <c r="A60" s="38" t="s">
        <v>130</v>
      </c>
      <c r="B60" s="1" t="s">
        <v>131</v>
      </c>
      <c r="C60" s="1" t="s">
        <v>31</v>
      </c>
      <c r="D60" s="8">
        <v>8000</v>
      </c>
      <c r="E60" s="1">
        <v>0.25</v>
      </c>
      <c r="F60" s="39">
        <f t="shared" si="0"/>
        <v>2000</v>
      </c>
      <c r="G60" s="1">
        <v>0.25</v>
      </c>
      <c r="H60" s="8">
        <f t="shared" si="1"/>
        <v>2000</v>
      </c>
      <c r="I60" s="1">
        <v>0.25</v>
      </c>
      <c r="J60" s="8">
        <f t="shared" si="2"/>
        <v>2000</v>
      </c>
      <c r="K60" s="1">
        <v>0.25</v>
      </c>
      <c r="L60" s="8">
        <f t="shared" si="3"/>
        <v>2000</v>
      </c>
      <c r="M60" s="1">
        <f t="shared" si="4"/>
        <v>1</v>
      </c>
      <c r="N60" s="8">
        <f t="shared" si="5"/>
        <v>8000</v>
      </c>
    </row>
    <row r="61" spans="1:14">
      <c r="A61" s="38" t="s">
        <v>132</v>
      </c>
      <c r="B61" s="1" t="s">
        <v>133</v>
      </c>
      <c r="C61" s="1" t="s">
        <v>31</v>
      </c>
      <c r="D61" s="8">
        <v>10000</v>
      </c>
      <c r="E61" s="1">
        <v>0.25</v>
      </c>
      <c r="F61" s="39">
        <f t="shared" si="0"/>
        <v>2500</v>
      </c>
      <c r="G61" s="1">
        <v>0.25</v>
      </c>
      <c r="H61" s="8">
        <f t="shared" si="1"/>
        <v>2500</v>
      </c>
      <c r="I61" s="1">
        <v>0.25</v>
      </c>
      <c r="J61" s="8">
        <f t="shared" si="2"/>
        <v>2500</v>
      </c>
      <c r="K61" s="1">
        <v>0.25</v>
      </c>
      <c r="L61" s="8">
        <f t="shared" si="3"/>
        <v>2500</v>
      </c>
      <c r="M61" s="1">
        <f t="shared" si="4"/>
        <v>1</v>
      </c>
      <c r="N61" s="8">
        <f t="shared" si="5"/>
        <v>10000</v>
      </c>
    </row>
    <row r="62" spans="1:14">
      <c r="A62" s="1"/>
      <c r="B62" s="1" t="s">
        <v>134</v>
      </c>
      <c r="C62" s="1"/>
      <c r="D62" s="1"/>
      <c r="E62" s="1"/>
      <c r="F62" s="8">
        <v>25000</v>
      </c>
      <c r="G62" s="1"/>
      <c r="H62" s="8">
        <v>60000</v>
      </c>
      <c r="I62" s="1"/>
      <c r="J62" s="8">
        <v>195000</v>
      </c>
      <c r="K62" s="1"/>
      <c r="L62" s="8">
        <v>315000</v>
      </c>
      <c r="M62" s="1"/>
      <c r="N62" s="8">
        <f>F62+H62+J62+L62</f>
        <v>595000</v>
      </c>
    </row>
    <row r="63" spans="1:14">
      <c r="A63" s="1"/>
      <c r="B63" s="1" t="s">
        <v>135</v>
      </c>
      <c r="C63" s="1"/>
      <c r="D63" s="1"/>
      <c r="E63" s="1"/>
      <c r="F63" s="8">
        <v>4000</v>
      </c>
      <c r="G63" s="1"/>
      <c r="H63" s="8">
        <v>4000</v>
      </c>
      <c r="I63" s="1"/>
      <c r="J63" s="8">
        <v>4000</v>
      </c>
      <c r="K63" s="1"/>
      <c r="L63" s="8">
        <v>4000</v>
      </c>
      <c r="M63" s="1"/>
      <c r="N63" s="8">
        <f>F63+H63+J63+L63</f>
        <v>16000</v>
      </c>
    </row>
    <row r="64" spans="1:14" s="3" customFormat="1">
      <c r="A64"/>
      <c r="B64"/>
      <c r="C64"/>
      <c r="D64"/>
      <c r="E64" s="1" t="s">
        <v>5</v>
      </c>
      <c r="F64" s="31">
        <f>SUM(F59:F63,F57,F54:F55,F28:F52,F21:F26,F3:F19)</f>
        <v>155927</v>
      </c>
      <c r="G64" s="1" t="s">
        <v>7</v>
      </c>
      <c r="H64" s="31">
        <f>SUM(H59:H63,H57,H54:H55,H28:H52,H21:H26,H3:H19)</f>
        <v>332407</v>
      </c>
      <c r="I64" s="1" t="s">
        <v>9</v>
      </c>
      <c r="J64" s="31">
        <f>SUM(J59:J63,J57,J54:J55,J28:J52,J21:J26,J3:J19)</f>
        <v>1169485</v>
      </c>
      <c r="K64" s="1" t="s">
        <v>11</v>
      </c>
      <c r="L64" s="31">
        <f>SUM(L59:L63,L57,L54:L55,L28:L52,L21:L26,L3:L19)</f>
        <v>1444515</v>
      </c>
      <c r="M64" s="1" t="s">
        <v>136</v>
      </c>
      <c r="N64" s="8">
        <f>SUM(N59:N63,N57,N54:N55,N28:N52,N21:N26,N3:N19)</f>
        <v>3102334</v>
      </c>
    </row>
    <row r="67" spans="13:14">
      <c r="M67" t="s">
        <v>137</v>
      </c>
      <c r="N67" s="23">
        <f>F64+H64+J64+L64</f>
        <v>3102334</v>
      </c>
    </row>
  </sheetData>
  <mergeCells count="6">
    <mergeCell ref="A58:N58"/>
    <mergeCell ref="A2:N2"/>
    <mergeCell ref="A20:N20"/>
    <mergeCell ref="A27:N27"/>
    <mergeCell ref="A53:N53"/>
    <mergeCell ref="A56:N56"/>
  </mergeCells>
  <pageMargins left="0.7" right="0.7" top="0.75" bottom="0.75" header="0.3" footer="0.3"/>
  <pageSetup scale="4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45FF-68C6-4A2A-B795-05447991340E}">
  <sheetPr>
    <pageSetUpPr fitToPage="1"/>
  </sheetPr>
  <dimension ref="A1:N69"/>
  <sheetViews>
    <sheetView workbookViewId="0">
      <selection activeCell="Q63" sqref="Q63"/>
    </sheetView>
  </sheetViews>
  <sheetFormatPr defaultRowHeight="14.45"/>
  <cols>
    <col min="1" max="1" width="12.42578125" bestFit="1" customWidth="1"/>
    <col min="2" max="2" width="56.7109375" bestFit="1" customWidth="1"/>
    <col min="4" max="4" width="11.28515625" bestFit="1" customWidth="1"/>
    <col min="6" max="6" width="12.28515625" bestFit="1" customWidth="1"/>
    <col min="8" max="8" width="12.28515625" bestFit="1" customWidth="1"/>
    <col min="10" max="10" width="13.85546875" bestFit="1" customWidth="1"/>
    <col min="12" max="12" width="13.85546875" bestFit="1" customWidth="1"/>
    <col min="14" max="14" width="13.85546875" bestFit="1" customWidth="1"/>
  </cols>
  <sheetData>
    <row r="1" spans="1:14">
      <c r="A1" s="1"/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</row>
    <row r="2" spans="1:14" s="3" customFormat="1">
      <c r="A2" s="73" t="s">
        <v>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</row>
    <row r="3" spans="1:14">
      <c r="A3" s="38" t="s">
        <v>29</v>
      </c>
      <c r="B3" s="1" t="s">
        <v>30</v>
      </c>
      <c r="C3" s="1" t="s">
        <v>31</v>
      </c>
      <c r="D3" s="8">
        <v>15000</v>
      </c>
      <c r="E3" s="1">
        <v>0.25</v>
      </c>
      <c r="F3" s="39">
        <f t="shared" ref="F3:F62" si="0">D3*E3</f>
        <v>3750</v>
      </c>
      <c r="G3" s="1">
        <v>0.25</v>
      </c>
      <c r="H3" s="8">
        <f>D3*G3</f>
        <v>3750</v>
      </c>
      <c r="I3" s="1">
        <v>0.25</v>
      </c>
      <c r="J3" s="8">
        <f>D3*I3</f>
        <v>3750</v>
      </c>
      <c r="K3" s="1">
        <v>0.25</v>
      </c>
      <c r="L3" s="8">
        <f>D3*K3</f>
        <v>3750</v>
      </c>
      <c r="M3" s="1">
        <f>E3+G3+I3+K3</f>
        <v>1</v>
      </c>
      <c r="N3" s="8">
        <f>D3*M3</f>
        <v>15000</v>
      </c>
    </row>
    <row r="4" spans="1:14">
      <c r="A4" s="38" t="s">
        <v>32</v>
      </c>
      <c r="B4" s="1" t="s">
        <v>33</v>
      </c>
      <c r="C4" s="1" t="s">
        <v>34</v>
      </c>
      <c r="D4" s="8">
        <v>1000</v>
      </c>
      <c r="E4" s="1">
        <v>5</v>
      </c>
      <c r="F4" s="39">
        <f t="shared" si="0"/>
        <v>5000</v>
      </c>
      <c r="G4" s="1">
        <v>1</v>
      </c>
      <c r="H4" s="8">
        <f t="shared" ref="H4:H62" si="1">D4*G4</f>
        <v>1000</v>
      </c>
      <c r="I4" s="1"/>
      <c r="J4" s="8">
        <f t="shared" ref="J4:J62" si="2">D4*I4</f>
        <v>0</v>
      </c>
      <c r="K4" s="1">
        <v>2</v>
      </c>
      <c r="L4" s="8">
        <f t="shared" ref="L4:L62" si="3">D4*K4</f>
        <v>2000</v>
      </c>
      <c r="M4" s="1">
        <f t="shared" ref="M4:M62" si="4">E4+G4+I4+K4</f>
        <v>8</v>
      </c>
      <c r="N4" s="8">
        <f t="shared" ref="N4:N62" si="5">D4*M4</f>
        <v>8000</v>
      </c>
    </row>
    <row r="5" spans="1:14">
      <c r="A5" s="38" t="s">
        <v>35</v>
      </c>
      <c r="B5" s="1" t="s">
        <v>36</v>
      </c>
      <c r="C5" s="1" t="s">
        <v>34</v>
      </c>
      <c r="D5" s="8">
        <v>2500</v>
      </c>
      <c r="E5" s="1"/>
      <c r="F5" s="39">
        <f t="shared" si="0"/>
        <v>0</v>
      </c>
      <c r="G5" s="1">
        <v>1</v>
      </c>
      <c r="H5" s="8">
        <f t="shared" si="1"/>
        <v>2500</v>
      </c>
      <c r="I5" s="1"/>
      <c r="J5" s="8">
        <f t="shared" si="2"/>
        <v>0</v>
      </c>
      <c r="K5" s="1"/>
      <c r="L5" s="8">
        <f t="shared" si="3"/>
        <v>0</v>
      </c>
      <c r="M5" s="1">
        <f t="shared" si="4"/>
        <v>1</v>
      </c>
      <c r="N5" s="8">
        <f t="shared" si="5"/>
        <v>2500</v>
      </c>
    </row>
    <row r="6" spans="1:14">
      <c r="A6" s="38" t="s">
        <v>37</v>
      </c>
      <c r="B6" s="1" t="s">
        <v>38</v>
      </c>
      <c r="C6" s="1" t="s">
        <v>28</v>
      </c>
      <c r="D6" s="8">
        <v>20</v>
      </c>
      <c r="E6" s="1"/>
      <c r="F6" s="39">
        <f t="shared" si="0"/>
        <v>0</v>
      </c>
      <c r="G6" s="1"/>
      <c r="H6" s="8">
        <f t="shared" si="1"/>
        <v>0</v>
      </c>
      <c r="I6" s="1">
        <v>2341</v>
      </c>
      <c r="J6" s="8">
        <f t="shared" si="2"/>
        <v>46820</v>
      </c>
      <c r="K6" s="1">
        <v>521</v>
      </c>
      <c r="L6" s="8">
        <f t="shared" si="3"/>
        <v>10420</v>
      </c>
      <c r="M6" s="1">
        <f t="shared" si="4"/>
        <v>2862</v>
      </c>
      <c r="N6" s="8">
        <f t="shared" si="5"/>
        <v>57240</v>
      </c>
    </row>
    <row r="7" spans="1:14">
      <c r="A7" s="38" t="s">
        <v>39</v>
      </c>
      <c r="B7" s="1" t="s">
        <v>40</v>
      </c>
      <c r="C7" s="1" t="s">
        <v>28</v>
      </c>
      <c r="D7" s="8">
        <v>30</v>
      </c>
      <c r="E7" s="1"/>
      <c r="F7" s="39">
        <f t="shared" si="0"/>
        <v>0</v>
      </c>
      <c r="G7" s="1">
        <v>104</v>
      </c>
      <c r="H7" s="8">
        <f t="shared" si="1"/>
        <v>3120</v>
      </c>
      <c r="I7" s="1"/>
      <c r="J7" s="8">
        <f t="shared" si="2"/>
        <v>0</v>
      </c>
      <c r="K7" s="1"/>
      <c r="L7" s="8">
        <f t="shared" si="3"/>
        <v>0</v>
      </c>
      <c r="M7" s="1">
        <f t="shared" si="4"/>
        <v>104</v>
      </c>
      <c r="N7" s="8">
        <f t="shared" si="5"/>
        <v>3120</v>
      </c>
    </row>
    <row r="8" spans="1:14">
      <c r="A8" s="38" t="s">
        <v>41</v>
      </c>
      <c r="B8" s="1" t="s">
        <v>42</v>
      </c>
      <c r="C8" s="1" t="s">
        <v>34</v>
      </c>
      <c r="D8" s="8">
        <v>800</v>
      </c>
      <c r="E8" s="1"/>
      <c r="F8" s="39">
        <f t="shared" si="0"/>
        <v>0</v>
      </c>
      <c r="G8" s="1"/>
      <c r="H8" s="8">
        <f t="shared" si="1"/>
        <v>0</v>
      </c>
      <c r="I8" s="1">
        <v>2</v>
      </c>
      <c r="J8" s="8">
        <f t="shared" si="2"/>
        <v>1600</v>
      </c>
      <c r="K8" s="1">
        <v>3</v>
      </c>
      <c r="L8" s="8">
        <f t="shared" si="3"/>
        <v>2400</v>
      </c>
      <c r="M8" s="1">
        <f t="shared" si="4"/>
        <v>5</v>
      </c>
      <c r="N8" s="8">
        <f t="shared" si="5"/>
        <v>4000</v>
      </c>
    </row>
    <row r="9" spans="1:14">
      <c r="A9" s="38" t="s">
        <v>43</v>
      </c>
      <c r="B9" s="1" t="s">
        <v>44</v>
      </c>
      <c r="C9" s="1" t="s">
        <v>28</v>
      </c>
      <c r="D9" s="8">
        <v>25</v>
      </c>
      <c r="E9" s="1">
        <v>120</v>
      </c>
      <c r="F9" s="39">
        <f t="shared" si="0"/>
        <v>3000</v>
      </c>
      <c r="G9" s="1"/>
      <c r="H9" s="8">
        <f t="shared" si="1"/>
        <v>0</v>
      </c>
      <c r="I9" s="1">
        <v>10</v>
      </c>
      <c r="J9" s="8">
        <f t="shared" si="2"/>
        <v>250</v>
      </c>
      <c r="K9" s="1">
        <v>214</v>
      </c>
      <c r="L9" s="8">
        <f t="shared" si="3"/>
        <v>5350</v>
      </c>
      <c r="M9" s="1">
        <f t="shared" si="4"/>
        <v>344</v>
      </c>
      <c r="N9" s="8">
        <f t="shared" si="5"/>
        <v>8600</v>
      </c>
    </row>
    <row r="10" spans="1:14">
      <c r="A10" s="38" t="s">
        <v>45</v>
      </c>
      <c r="B10" s="1" t="s">
        <v>46</v>
      </c>
      <c r="C10" s="1" t="s">
        <v>47</v>
      </c>
      <c r="D10" s="8">
        <v>15</v>
      </c>
      <c r="E10" s="1"/>
      <c r="F10" s="39">
        <f t="shared" si="0"/>
        <v>0</v>
      </c>
      <c r="G10" s="1">
        <v>255</v>
      </c>
      <c r="H10" s="8">
        <f t="shared" si="1"/>
        <v>3825</v>
      </c>
      <c r="I10" s="1">
        <f>451+3634</f>
        <v>4085</v>
      </c>
      <c r="J10" s="8">
        <f t="shared" si="2"/>
        <v>61275</v>
      </c>
      <c r="K10" s="1">
        <f>5000+8961</f>
        <v>13961</v>
      </c>
      <c r="L10" s="8">
        <f t="shared" si="3"/>
        <v>209415</v>
      </c>
      <c r="M10" s="1">
        <f t="shared" si="4"/>
        <v>18301</v>
      </c>
      <c r="N10" s="8">
        <f t="shared" si="5"/>
        <v>274515</v>
      </c>
    </row>
    <row r="11" spans="1:14">
      <c r="A11" s="38" t="s">
        <v>45</v>
      </c>
      <c r="B11" s="1" t="s">
        <v>48</v>
      </c>
      <c r="C11" s="1" t="s">
        <v>47</v>
      </c>
      <c r="D11" s="8">
        <v>9</v>
      </c>
      <c r="E11" s="1">
        <v>100</v>
      </c>
      <c r="F11" s="39">
        <f t="shared" si="0"/>
        <v>900</v>
      </c>
      <c r="G11" s="1">
        <v>200</v>
      </c>
      <c r="H11" s="8">
        <f t="shared" si="1"/>
        <v>1800</v>
      </c>
      <c r="I11" s="1">
        <v>200</v>
      </c>
      <c r="J11" s="8">
        <f t="shared" si="2"/>
        <v>1800</v>
      </c>
      <c r="K11" s="1">
        <v>200</v>
      </c>
      <c r="L11" s="8">
        <f t="shared" si="3"/>
        <v>1800</v>
      </c>
      <c r="M11" s="1">
        <f t="shared" si="4"/>
        <v>700</v>
      </c>
      <c r="N11" s="8">
        <f t="shared" si="5"/>
        <v>6300</v>
      </c>
    </row>
    <row r="12" spans="1:14">
      <c r="A12" s="38" t="s">
        <v>49</v>
      </c>
      <c r="B12" s="1" t="s">
        <v>50</v>
      </c>
      <c r="C12" s="1" t="s">
        <v>47</v>
      </c>
      <c r="D12" s="8">
        <v>9</v>
      </c>
      <c r="E12" s="1">
        <v>50</v>
      </c>
      <c r="F12" s="39">
        <f t="shared" si="0"/>
        <v>450</v>
      </c>
      <c r="G12" s="1">
        <v>100</v>
      </c>
      <c r="H12" s="8">
        <f t="shared" si="1"/>
        <v>900</v>
      </c>
      <c r="I12" s="1">
        <v>100</v>
      </c>
      <c r="J12" s="8">
        <f t="shared" si="2"/>
        <v>900</v>
      </c>
      <c r="K12" s="1">
        <v>100</v>
      </c>
      <c r="L12" s="8">
        <f t="shared" si="3"/>
        <v>900</v>
      </c>
      <c r="M12" s="1">
        <f t="shared" si="4"/>
        <v>350</v>
      </c>
      <c r="N12" s="8">
        <f t="shared" si="5"/>
        <v>3150</v>
      </c>
    </row>
    <row r="13" spans="1:14">
      <c r="A13" s="38" t="s">
        <v>51</v>
      </c>
      <c r="B13" s="1" t="s">
        <v>52</v>
      </c>
      <c r="C13" s="1" t="s">
        <v>47</v>
      </c>
      <c r="D13" s="8">
        <v>9</v>
      </c>
      <c r="E13" s="1">
        <v>50</v>
      </c>
      <c r="F13" s="39">
        <f t="shared" si="0"/>
        <v>450</v>
      </c>
      <c r="G13" s="1">
        <v>50</v>
      </c>
      <c r="H13" s="8">
        <f t="shared" si="1"/>
        <v>450</v>
      </c>
      <c r="I13" s="1">
        <v>50</v>
      </c>
      <c r="J13" s="8">
        <f t="shared" si="2"/>
        <v>450</v>
      </c>
      <c r="K13" s="1">
        <v>50</v>
      </c>
      <c r="L13" s="8">
        <f t="shared" si="3"/>
        <v>450</v>
      </c>
      <c r="M13" s="1">
        <f t="shared" si="4"/>
        <v>200</v>
      </c>
      <c r="N13" s="8">
        <f t="shared" si="5"/>
        <v>1800</v>
      </c>
    </row>
    <row r="14" spans="1:14">
      <c r="A14" s="38" t="s">
        <v>51</v>
      </c>
      <c r="B14" s="1" t="s">
        <v>53</v>
      </c>
      <c r="C14" s="1" t="s">
        <v>47</v>
      </c>
      <c r="D14" s="8">
        <v>9</v>
      </c>
      <c r="E14" s="1">
        <v>50</v>
      </c>
      <c r="F14" s="39">
        <f t="shared" si="0"/>
        <v>450</v>
      </c>
      <c r="G14" s="1">
        <v>50</v>
      </c>
      <c r="H14" s="8">
        <f t="shared" si="1"/>
        <v>450</v>
      </c>
      <c r="I14" s="1">
        <v>50</v>
      </c>
      <c r="J14" s="8">
        <f t="shared" si="2"/>
        <v>450</v>
      </c>
      <c r="K14" s="1">
        <v>50</v>
      </c>
      <c r="L14" s="8">
        <f t="shared" si="3"/>
        <v>450</v>
      </c>
      <c r="M14" s="1">
        <f t="shared" si="4"/>
        <v>200</v>
      </c>
      <c r="N14" s="8">
        <f t="shared" si="5"/>
        <v>1800</v>
      </c>
    </row>
    <row r="15" spans="1:14">
      <c r="A15" s="38" t="s">
        <v>54</v>
      </c>
      <c r="B15" s="1" t="s">
        <v>55</v>
      </c>
      <c r="C15" s="1" t="s">
        <v>47</v>
      </c>
      <c r="D15" s="8">
        <v>50</v>
      </c>
      <c r="E15" s="1"/>
      <c r="F15" s="39">
        <f t="shared" si="0"/>
        <v>0</v>
      </c>
      <c r="G15" s="1">
        <v>180</v>
      </c>
      <c r="H15" s="8">
        <f t="shared" si="1"/>
        <v>9000</v>
      </c>
      <c r="I15" s="1">
        <f>289+1200</f>
        <v>1489</v>
      </c>
      <c r="J15" s="8">
        <f t="shared" si="2"/>
        <v>74450</v>
      </c>
      <c r="K15" s="1">
        <f>1064+996</f>
        <v>2060</v>
      </c>
      <c r="L15" s="8">
        <f t="shared" si="3"/>
        <v>103000</v>
      </c>
      <c r="M15" s="1">
        <f t="shared" si="4"/>
        <v>3729</v>
      </c>
      <c r="N15" s="8">
        <f t="shared" si="5"/>
        <v>186450</v>
      </c>
    </row>
    <row r="16" spans="1:14">
      <c r="A16" s="38" t="s">
        <v>56</v>
      </c>
      <c r="B16" s="1" t="s">
        <v>57</v>
      </c>
      <c r="C16" s="1" t="s">
        <v>28</v>
      </c>
      <c r="D16" s="8">
        <v>100</v>
      </c>
      <c r="E16" s="1"/>
      <c r="F16" s="39">
        <f t="shared" si="0"/>
        <v>0</v>
      </c>
      <c r="G16" s="1">
        <v>12.5</v>
      </c>
      <c r="H16" s="8">
        <f t="shared" si="1"/>
        <v>1250</v>
      </c>
      <c r="I16" s="1"/>
      <c r="J16" s="8">
        <f t="shared" si="2"/>
        <v>0</v>
      </c>
      <c r="K16" s="1"/>
      <c r="L16" s="8">
        <f t="shared" si="3"/>
        <v>0</v>
      </c>
      <c r="M16" s="1">
        <f t="shared" si="4"/>
        <v>12.5</v>
      </c>
      <c r="N16" s="8">
        <f t="shared" si="5"/>
        <v>1250</v>
      </c>
    </row>
    <row r="17" spans="1:14">
      <c r="A17" s="38" t="s">
        <v>58</v>
      </c>
      <c r="B17" s="1" t="s">
        <v>59</v>
      </c>
      <c r="C17" s="1" t="s">
        <v>34</v>
      </c>
      <c r="D17" s="8">
        <v>210</v>
      </c>
      <c r="E17" s="1"/>
      <c r="F17" s="39">
        <f t="shared" si="0"/>
        <v>0</v>
      </c>
      <c r="G17" s="1"/>
      <c r="H17" s="8">
        <f t="shared" si="1"/>
        <v>0</v>
      </c>
      <c r="I17" s="1">
        <v>10</v>
      </c>
      <c r="J17" s="8">
        <f t="shared" si="2"/>
        <v>2100</v>
      </c>
      <c r="K17" s="1">
        <v>8</v>
      </c>
      <c r="L17" s="8">
        <f t="shared" si="3"/>
        <v>1680</v>
      </c>
      <c r="M17" s="1">
        <f t="shared" si="4"/>
        <v>18</v>
      </c>
      <c r="N17" s="8">
        <f t="shared" si="5"/>
        <v>3780</v>
      </c>
    </row>
    <row r="18" spans="1:14">
      <c r="A18" s="38" t="s">
        <v>60</v>
      </c>
      <c r="B18" s="1" t="s">
        <v>61</v>
      </c>
      <c r="C18" s="1" t="s">
        <v>34</v>
      </c>
      <c r="D18" s="8">
        <v>5000</v>
      </c>
      <c r="E18" s="1"/>
      <c r="F18" s="39">
        <f t="shared" si="0"/>
        <v>0</v>
      </c>
      <c r="G18" s="1"/>
      <c r="H18" s="8">
        <f t="shared" si="1"/>
        <v>0</v>
      </c>
      <c r="I18" s="1">
        <v>11</v>
      </c>
      <c r="J18" s="8">
        <f t="shared" si="2"/>
        <v>55000</v>
      </c>
      <c r="K18" s="1">
        <v>2</v>
      </c>
      <c r="L18" s="8">
        <f t="shared" si="3"/>
        <v>10000</v>
      </c>
      <c r="M18" s="1">
        <f t="shared" si="4"/>
        <v>13</v>
      </c>
      <c r="N18" s="8">
        <f t="shared" si="5"/>
        <v>65000</v>
      </c>
    </row>
    <row r="19" spans="1:14">
      <c r="A19" s="38" t="s">
        <v>60</v>
      </c>
      <c r="B19" s="1" t="s">
        <v>62</v>
      </c>
      <c r="C19" s="1" t="s">
        <v>34</v>
      </c>
      <c r="D19" s="8">
        <v>800</v>
      </c>
      <c r="E19" s="1"/>
      <c r="F19" s="39">
        <f t="shared" si="0"/>
        <v>0</v>
      </c>
      <c r="G19" s="1">
        <v>2</v>
      </c>
      <c r="H19" s="8">
        <f t="shared" si="1"/>
        <v>1600</v>
      </c>
      <c r="I19" s="1">
        <v>2</v>
      </c>
      <c r="J19" s="8">
        <f t="shared" si="2"/>
        <v>1600</v>
      </c>
      <c r="K19" s="1">
        <v>2</v>
      </c>
      <c r="L19" s="8">
        <f t="shared" si="3"/>
        <v>1600</v>
      </c>
      <c r="M19" s="1">
        <f t="shared" si="4"/>
        <v>6</v>
      </c>
      <c r="N19" s="8">
        <f t="shared" si="5"/>
        <v>4800</v>
      </c>
    </row>
    <row r="20" spans="1:14">
      <c r="A20" s="76" t="s">
        <v>63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8"/>
    </row>
    <row r="21" spans="1:14">
      <c r="A21" s="38" t="s">
        <v>64</v>
      </c>
      <c r="B21" s="1" t="s">
        <v>65</v>
      </c>
      <c r="C21" s="1" t="s">
        <v>66</v>
      </c>
      <c r="D21" s="8">
        <v>200</v>
      </c>
      <c r="E21" s="1"/>
      <c r="F21" s="39">
        <f t="shared" si="0"/>
        <v>0</v>
      </c>
      <c r="G21" s="1"/>
      <c r="H21" s="8">
        <f t="shared" si="1"/>
        <v>0</v>
      </c>
      <c r="I21" s="1"/>
      <c r="J21" s="8">
        <f t="shared" si="2"/>
        <v>0</v>
      </c>
      <c r="K21" s="1">
        <v>9</v>
      </c>
      <c r="L21" s="8">
        <f t="shared" si="3"/>
        <v>1800</v>
      </c>
      <c r="M21" s="1">
        <f t="shared" si="4"/>
        <v>9</v>
      </c>
      <c r="N21" s="8">
        <f t="shared" si="5"/>
        <v>1800</v>
      </c>
    </row>
    <row r="22" spans="1:14">
      <c r="A22" s="38" t="s">
        <v>67</v>
      </c>
      <c r="B22" s="1" t="s">
        <v>68</v>
      </c>
      <c r="C22" s="1" t="s">
        <v>47</v>
      </c>
      <c r="D22" s="8">
        <v>200</v>
      </c>
      <c r="E22" s="1">
        <v>1</v>
      </c>
      <c r="F22" s="39">
        <f t="shared" si="0"/>
        <v>200</v>
      </c>
      <c r="G22" s="1">
        <v>2</v>
      </c>
      <c r="H22" s="8">
        <f t="shared" si="1"/>
        <v>400</v>
      </c>
      <c r="I22" s="1">
        <v>2</v>
      </c>
      <c r="J22" s="8">
        <f t="shared" si="2"/>
        <v>400</v>
      </c>
      <c r="K22" s="1">
        <v>1</v>
      </c>
      <c r="L22" s="8">
        <f t="shared" si="3"/>
        <v>200</v>
      </c>
      <c r="M22" s="1">
        <f t="shared" si="4"/>
        <v>6</v>
      </c>
      <c r="N22" s="8">
        <f t="shared" si="5"/>
        <v>1200</v>
      </c>
    </row>
    <row r="23" spans="1:14">
      <c r="A23" s="38" t="s">
        <v>69</v>
      </c>
      <c r="B23" s="1" t="s">
        <v>70</v>
      </c>
      <c r="C23" s="1" t="s">
        <v>66</v>
      </c>
      <c r="D23" s="8">
        <v>2</v>
      </c>
      <c r="E23" s="1">
        <v>481</v>
      </c>
      <c r="F23" s="39">
        <f t="shared" si="0"/>
        <v>962</v>
      </c>
      <c r="G23" s="1">
        <v>1126</v>
      </c>
      <c r="H23" s="8">
        <f t="shared" si="1"/>
        <v>2252</v>
      </c>
      <c r="I23" s="1">
        <f>3350+7199</f>
        <v>10549</v>
      </c>
      <c r="J23" s="8">
        <f t="shared" si="2"/>
        <v>21098</v>
      </c>
      <c r="K23" s="1">
        <f>11735+4291</f>
        <v>16026</v>
      </c>
      <c r="L23" s="8">
        <f t="shared" si="3"/>
        <v>32052</v>
      </c>
      <c r="M23" s="1">
        <f t="shared" si="4"/>
        <v>28182</v>
      </c>
      <c r="N23" s="8">
        <f t="shared" si="5"/>
        <v>56364</v>
      </c>
    </row>
    <row r="24" spans="1:14">
      <c r="A24" s="38" t="s">
        <v>71</v>
      </c>
      <c r="B24" s="1" t="s">
        <v>72</v>
      </c>
      <c r="C24" s="1" t="s">
        <v>73</v>
      </c>
      <c r="D24" s="8">
        <v>10</v>
      </c>
      <c r="E24" s="1">
        <v>3</v>
      </c>
      <c r="F24" s="39">
        <f t="shared" si="0"/>
        <v>30</v>
      </c>
      <c r="G24" s="1">
        <v>6</v>
      </c>
      <c r="H24" s="8">
        <f t="shared" si="1"/>
        <v>60</v>
      </c>
      <c r="I24" s="1">
        <f>17+39</f>
        <v>56</v>
      </c>
      <c r="J24" s="8">
        <f t="shared" si="2"/>
        <v>560</v>
      </c>
      <c r="K24" s="1">
        <f>63+23</f>
        <v>86</v>
      </c>
      <c r="L24" s="8">
        <f t="shared" si="3"/>
        <v>860</v>
      </c>
      <c r="M24" s="1">
        <f t="shared" si="4"/>
        <v>151</v>
      </c>
      <c r="N24" s="8">
        <f t="shared" si="5"/>
        <v>1510</v>
      </c>
    </row>
    <row r="25" spans="1:14">
      <c r="A25" s="38" t="s">
        <v>74</v>
      </c>
      <c r="B25" s="1" t="s">
        <v>63</v>
      </c>
      <c r="C25" s="1" t="s">
        <v>34</v>
      </c>
      <c r="D25" s="8">
        <v>1</v>
      </c>
      <c r="E25" s="1">
        <v>2000</v>
      </c>
      <c r="F25" s="39">
        <f t="shared" si="0"/>
        <v>2000</v>
      </c>
      <c r="G25" s="1">
        <v>5000</v>
      </c>
      <c r="H25" s="8">
        <f t="shared" si="1"/>
        <v>5000</v>
      </c>
      <c r="I25" s="1">
        <v>5000</v>
      </c>
      <c r="J25" s="8">
        <f t="shared" si="2"/>
        <v>5000</v>
      </c>
      <c r="K25" s="1">
        <v>5000</v>
      </c>
      <c r="L25" s="8">
        <f t="shared" si="3"/>
        <v>5000</v>
      </c>
      <c r="M25" s="1">
        <f t="shared" si="4"/>
        <v>17000</v>
      </c>
      <c r="N25" s="8">
        <f t="shared" si="5"/>
        <v>17000</v>
      </c>
    </row>
    <row r="26" spans="1:14">
      <c r="A26" s="38" t="s">
        <v>60</v>
      </c>
      <c r="B26" s="1" t="s">
        <v>75</v>
      </c>
      <c r="C26" s="1" t="s">
        <v>31</v>
      </c>
      <c r="D26" s="8">
        <v>15000</v>
      </c>
      <c r="E26" s="1">
        <v>0.25</v>
      </c>
      <c r="F26" s="1">
        <f t="shared" si="0"/>
        <v>3750</v>
      </c>
      <c r="G26" s="1">
        <v>0.25</v>
      </c>
      <c r="H26" s="1">
        <f t="shared" si="1"/>
        <v>3750</v>
      </c>
      <c r="I26" s="1">
        <v>0.25</v>
      </c>
      <c r="J26" s="1">
        <f t="shared" si="2"/>
        <v>3750</v>
      </c>
      <c r="K26" s="1">
        <v>0.25</v>
      </c>
      <c r="L26" s="1">
        <f t="shared" si="3"/>
        <v>3750</v>
      </c>
      <c r="M26" s="1">
        <f t="shared" si="4"/>
        <v>1</v>
      </c>
      <c r="N26" s="1">
        <f t="shared" si="5"/>
        <v>15000</v>
      </c>
    </row>
    <row r="27" spans="1:14">
      <c r="A27" s="76" t="s">
        <v>76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</row>
    <row r="28" spans="1:14">
      <c r="A28" s="62" t="s">
        <v>138</v>
      </c>
      <c r="B28" s="62" t="s">
        <v>139</v>
      </c>
      <c r="C28" s="62" t="s">
        <v>47</v>
      </c>
      <c r="D28" s="63">
        <v>150</v>
      </c>
      <c r="E28" s="64"/>
      <c r="F28" s="39">
        <f t="shared" si="0"/>
        <v>0</v>
      </c>
      <c r="G28" s="64"/>
      <c r="H28" s="8">
        <f t="shared" si="1"/>
        <v>0</v>
      </c>
      <c r="I28" s="49">
        <v>129</v>
      </c>
      <c r="J28" s="8">
        <f t="shared" si="2"/>
        <v>19350</v>
      </c>
      <c r="K28" s="49">
        <v>73</v>
      </c>
      <c r="L28" s="8">
        <f t="shared" si="3"/>
        <v>10950</v>
      </c>
      <c r="M28" s="1">
        <f t="shared" si="4"/>
        <v>202</v>
      </c>
      <c r="N28" s="8">
        <f t="shared" si="5"/>
        <v>30300</v>
      </c>
    </row>
    <row r="29" spans="1:14">
      <c r="A29" s="38" t="s">
        <v>77</v>
      </c>
      <c r="B29" s="1" t="s">
        <v>78</v>
      </c>
      <c r="C29" s="1" t="s">
        <v>47</v>
      </c>
      <c r="D29" s="8">
        <v>3500</v>
      </c>
      <c r="E29" s="1">
        <v>0.21</v>
      </c>
      <c r="F29" s="39">
        <f t="shared" si="0"/>
        <v>735</v>
      </c>
      <c r="G29" s="1">
        <v>0.46</v>
      </c>
      <c r="H29" s="8">
        <f t="shared" si="1"/>
        <v>1610</v>
      </c>
      <c r="I29" s="1">
        <f>0.6+0.33</f>
        <v>0.92999999999999994</v>
      </c>
      <c r="J29" s="8">
        <f t="shared" si="2"/>
        <v>3255</v>
      </c>
      <c r="K29" s="1">
        <f>1.09+0.79</f>
        <v>1.8800000000000001</v>
      </c>
      <c r="L29" s="8">
        <f t="shared" si="3"/>
        <v>6580</v>
      </c>
      <c r="M29" s="1">
        <f t="shared" si="4"/>
        <v>3.4800000000000004</v>
      </c>
      <c r="N29" s="8">
        <f t="shared" si="5"/>
        <v>12180.000000000002</v>
      </c>
    </row>
    <row r="30" spans="1:14">
      <c r="A30" s="38"/>
      <c r="B30" s="1" t="s">
        <v>79</v>
      </c>
      <c r="C30" s="1" t="s">
        <v>28</v>
      </c>
      <c r="D30" s="8">
        <v>120</v>
      </c>
      <c r="E30" s="1"/>
      <c r="F30" s="39">
        <f t="shared" si="0"/>
        <v>0</v>
      </c>
      <c r="G30" s="1"/>
      <c r="H30" s="8">
        <f t="shared" si="1"/>
        <v>0</v>
      </c>
      <c r="I30" s="1"/>
      <c r="J30" s="8">
        <f t="shared" si="2"/>
        <v>0</v>
      </c>
      <c r="K30" s="1">
        <v>116</v>
      </c>
      <c r="L30" s="8">
        <f t="shared" si="3"/>
        <v>13920</v>
      </c>
      <c r="M30" s="1">
        <f t="shared" si="4"/>
        <v>116</v>
      </c>
      <c r="N30" s="8">
        <f t="shared" si="5"/>
        <v>13920</v>
      </c>
    </row>
    <row r="31" spans="1:14">
      <c r="A31" s="38" t="s">
        <v>80</v>
      </c>
      <c r="B31" s="1" t="s">
        <v>81</v>
      </c>
      <c r="C31" s="1" t="s">
        <v>28</v>
      </c>
      <c r="D31" s="8">
        <v>100</v>
      </c>
      <c r="E31" s="1"/>
      <c r="F31" s="39">
        <f t="shared" si="0"/>
        <v>0</v>
      </c>
      <c r="G31" s="1"/>
      <c r="H31" s="8">
        <f t="shared" si="1"/>
        <v>0</v>
      </c>
      <c r="I31" s="1">
        <f>1700-400</f>
        <v>1300</v>
      </c>
      <c r="J31" s="8">
        <f t="shared" si="2"/>
        <v>130000</v>
      </c>
      <c r="K31" s="1"/>
      <c r="L31" s="8">
        <f t="shared" si="3"/>
        <v>0</v>
      </c>
      <c r="M31" s="1">
        <f t="shared" si="4"/>
        <v>1300</v>
      </c>
      <c r="N31" s="8">
        <f t="shared" si="5"/>
        <v>130000</v>
      </c>
    </row>
    <row r="32" spans="1:14">
      <c r="A32" s="38" t="s">
        <v>80</v>
      </c>
      <c r="B32" s="1" t="s">
        <v>82</v>
      </c>
      <c r="C32" s="1" t="s">
        <v>28</v>
      </c>
      <c r="D32" s="8">
        <v>100</v>
      </c>
      <c r="E32" s="1">
        <v>801</v>
      </c>
      <c r="F32" s="39">
        <f t="shared" si="0"/>
        <v>80100</v>
      </c>
      <c r="G32" s="1">
        <v>6</v>
      </c>
      <c r="H32" s="8">
        <f t="shared" si="1"/>
        <v>600</v>
      </c>
      <c r="I32" s="1">
        <v>332</v>
      </c>
      <c r="J32" s="8">
        <f t="shared" si="2"/>
        <v>33200</v>
      </c>
      <c r="K32" s="1">
        <v>1691</v>
      </c>
      <c r="L32" s="8">
        <f t="shared" si="3"/>
        <v>169100</v>
      </c>
      <c r="M32" s="1">
        <f t="shared" si="4"/>
        <v>2830</v>
      </c>
      <c r="N32" s="8">
        <f t="shared" si="5"/>
        <v>283000</v>
      </c>
    </row>
    <row r="33" spans="1:14">
      <c r="A33" s="38" t="s">
        <v>80</v>
      </c>
      <c r="B33" s="1" t="s">
        <v>83</v>
      </c>
      <c r="C33" s="1" t="s">
        <v>28</v>
      </c>
      <c r="D33" s="8">
        <v>100</v>
      </c>
      <c r="E33" s="1">
        <v>58</v>
      </c>
      <c r="F33" s="39">
        <f t="shared" si="0"/>
        <v>5800</v>
      </c>
      <c r="G33" s="1">
        <v>789</v>
      </c>
      <c r="H33" s="8">
        <f t="shared" si="1"/>
        <v>78900</v>
      </c>
      <c r="I33" s="1"/>
      <c r="J33" s="8">
        <f t="shared" si="2"/>
        <v>0</v>
      </c>
      <c r="K33" s="1"/>
      <c r="L33" s="8">
        <f t="shared" si="3"/>
        <v>0</v>
      </c>
      <c r="M33" s="1">
        <f t="shared" si="4"/>
        <v>847</v>
      </c>
      <c r="N33" s="8">
        <f t="shared" si="5"/>
        <v>84700</v>
      </c>
    </row>
    <row r="34" spans="1:14">
      <c r="A34" s="38" t="s">
        <v>84</v>
      </c>
      <c r="B34" s="1" t="s">
        <v>85</v>
      </c>
      <c r="C34" s="1" t="s">
        <v>28</v>
      </c>
      <c r="D34" s="8">
        <v>120</v>
      </c>
      <c r="E34" s="1"/>
      <c r="F34" s="39">
        <f t="shared" si="0"/>
        <v>0</v>
      </c>
      <c r="G34" s="1"/>
      <c r="H34" s="8">
        <f t="shared" si="1"/>
        <v>0</v>
      </c>
      <c r="I34" s="1"/>
      <c r="J34" s="8">
        <f t="shared" si="2"/>
        <v>0</v>
      </c>
      <c r="K34" s="1">
        <f>1392</f>
        <v>1392</v>
      </c>
      <c r="L34" s="8">
        <f t="shared" si="3"/>
        <v>167040</v>
      </c>
      <c r="M34" s="1">
        <f t="shared" si="4"/>
        <v>1392</v>
      </c>
      <c r="N34" s="8">
        <f t="shared" si="5"/>
        <v>167040</v>
      </c>
    </row>
    <row r="35" spans="1:14">
      <c r="A35" s="38" t="s">
        <v>84</v>
      </c>
      <c r="B35" s="1" t="s">
        <v>86</v>
      </c>
      <c r="C35" s="1" t="s">
        <v>28</v>
      </c>
      <c r="D35" s="8">
        <v>150</v>
      </c>
      <c r="E35" s="1"/>
      <c r="F35" s="39">
        <f t="shared" si="0"/>
        <v>0</v>
      </c>
      <c r="G35" s="1"/>
      <c r="H35" s="8">
        <f t="shared" si="1"/>
        <v>0</v>
      </c>
      <c r="I35" s="1">
        <v>29</v>
      </c>
      <c r="J35" s="8">
        <f t="shared" si="2"/>
        <v>4350</v>
      </c>
      <c r="K35" s="1"/>
      <c r="L35" s="8">
        <f t="shared" si="3"/>
        <v>0</v>
      </c>
      <c r="M35" s="1">
        <f t="shared" si="4"/>
        <v>29</v>
      </c>
      <c r="N35" s="8">
        <f t="shared" si="5"/>
        <v>4350</v>
      </c>
    </row>
    <row r="36" spans="1:14">
      <c r="A36" s="38" t="s">
        <v>87</v>
      </c>
      <c r="B36" s="1" t="s">
        <v>140</v>
      </c>
      <c r="C36" s="1" t="s">
        <v>28</v>
      </c>
      <c r="D36" s="8">
        <v>120</v>
      </c>
      <c r="E36" s="1"/>
      <c r="F36" s="39">
        <f t="shared" si="0"/>
        <v>0</v>
      </c>
      <c r="G36" s="1"/>
      <c r="H36" s="8">
        <f t="shared" si="1"/>
        <v>0</v>
      </c>
      <c r="I36" s="1">
        <v>400</v>
      </c>
      <c r="J36" s="8">
        <f t="shared" si="2"/>
        <v>48000</v>
      </c>
      <c r="K36" s="1">
        <f>1809+34</f>
        <v>1843</v>
      </c>
      <c r="L36" s="8">
        <f t="shared" si="3"/>
        <v>221160</v>
      </c>
      <c r="M36" s="1">
        <f t="shared" si="4"/>
        <v>2243</v>
      </c>
      <c r="N36" s="8">
        <f t="shared" si="5"/>
        <v>269160</v>
      </c>
    </row>
    <row r="37" spans="1:14">
      <c r="A37" s="38" t="s">
        <v>87</v>
      </c>
      <c r="B37" s="1" t="s">
        <v>89</v>
      </c>
      <c r="C37" s="1" t="s">
        <v>28</v>
      </c>
      <c r="D37" s="8">
        <v>150</v>
      </c>
      <c r="E37" s="1"/>
      <c r="F37" s="39">
        <f t="shared" si="0"/>
        <v>0</v>
      </c>
      <c r="G37" s="1">
        <v>133</v>
      </c>
      <c r="H37" s="8">
        <f t="shared" si="1"/>
        <v>19950</v>
      </c>
      <c r="I37" s="1"/>
      <c r="J37" s="8">
        <f t="shared" si="2"/>
        <v>0</v>
      </c>
      <c r="K37" s="1"/>
      <c r="L37" s="8">
        <f t="shared" si="3"/>
        <v>0</v>
      </c>
      <c r="M37" s="1">
        <f t="shared" si="4"/>
        <v>133</v>
      </c>
      <c r="N37" s="8">
        <f t="shared" si="5"/>
        <v>19950</v>
      </c>
    </row>
    <row r="38" spans="1:14">
      <c r="A38" s="38" t="s">
        <v>90</v>
      </c>
      <c r="B38" s="1" t="s">
        <v>91</v>
      </c>
      <c r="C38" s="1" t="s">
        <v>28</v>
      </c>
      <c r="D38" s="8">
        <v>150</v>
      </c>
      <c r="E38" s="1"/>
      <c r="F38" s="39">
        <f t="shared" si="0"/>
        <v>0</v>
      </c>
      <c r="G38" s="1">
        <v>62</v>
      </c>
      <c r="H38" s="8">
        <f t="shared" si="1"/>
        <v>9300</v>
      </c>
      <c r="I38" s="1"/>
      <c r="J38" s="8">
        <f t="shared" si="2"/>
        <v>0</v>
      </c>
      <c r="K38" s="1">
        <v>967</v>
      </c>
      <c r="L38" s="8">
        <f t="shared" si="3"/>
        <v>145050</v>
      </c>
      <c r="M38" s="1">
        <f t="shared" si="4"/>
        <v>1029</v>
      </c>
      <c r="N38" s="8">
        <f t="shared" si="5"/>
        <v>154350</v>
      </c>
    </row>
    <row r="39" spans="1:14">
      <c r="A39" s="38" t="s">
        <v>92</v>
      </c>
      <c r="B39" s="1" t="s">
        <v>93</v>
      </c>
      <c r="C39" s="1" t="s">
        <v>28</v>
      </c>
      <c r="D39" s="8">
        <v>150</v>
      </c>
      <c r="E39" s="1"/>
      <c r="F39" s="39">
        <f t="shared" si="0"/>
        <v>0</v>
      </c>
      <c r="G39" s="1"/>
      <c r="H39" s="8">
        <f t="shared" si="1"/>
        <v>0</v>
      </c>
      <c r="I39" s="1"/>
      <c r="J39" s="8">
        <f t="shared" si="2"/>
        <v>0</v>
      </c>
      <c r="K39" s="1">
        <f>1180-306</f>
        <v>874</v>
      </c>
      <c r="L39" s="8">
        <f t="shared" si="3"/>
        <v>131100</v>
      </c>
      <c r="M39" s="1">
        <f t="shared" si="4"/>
        <v>874</v>
      </c>
      <c r="N39" s="8">
        <f t="shared" si="5"/>
        <v>131100</v>
      </c>
    </row>
    <row r="40" spans="1:14">
      <c r="A40" s="38" t="s">
        <v>92</v>
      </c>
      <c r="B40" s="1" t="s">
        <v>94</v>
      </c>
      <c r="C40" s="1" t="s">
        <v>28</v>
      </c>
      <c r="D40" s="8">
        <v>175</v>
      </c>
      <c r="E40" s="1"/>
      <c r="F40" s="39">
        <f t="shared" si="0"/>
        <v>0</v>
      </c>
      <c r="G40" s="1"/>
      <c r="H40" s="8">
        <f t="shared" si="1"/>
        <v>0</v>
      </c>
      <c r="I40" s="1"/>
      <c r="J40" s="8">
        <f t="shared" si="2"/>
        <v>0</v>
      </c>
      <c r="K40" s="1"/>
      <c r="L40" s="8">
        <f t="shared" si="3"/>
        <v>0</v>
      </c>
      <c r="M40" s="1">
        <f t="shared" si="4"/>
        <v>0</v>
      </c>
      <c r="N40" s="8">
        <f t="shared" si="5"/>
        <v>0</v>
      </c>
    </row>
    <row r="41" spans="1:14">
      <c r="A41" s="38" t="s">
        <v>95</v>
      </c>
      <c r="B41" s="1" t="s">
        <v>96</v>
      </c>
      <c r="C41" s="1" t="s">
        <v>28</v>
      </c>
      <c r="D41" s="8">
        <v>210</v>
      </c>
      <c r="E41" s="1"/>
      <c r="F41" s="39">
        <f t="shared" si="0"/>
        <v>0</v>
      </c>
      <c r="G41" s="1"/>
      <c r="H41" s="8">
        <f t="shared" si="1"/>
        <v>0</v>
      </c>
      <c r="I41" s="1">
        <v>2519</v>
      </c>
      <c r="J41" s="8">
        <f t="shared" si="2"/>
        <v>528990</v>
      </c>
      <c r="K41" s="1"/>
      <c r="L41" s="8">
        <f t="shared" si="3"/>
        <v>0</v>
      </c>
      <c r="M41" s="1">
        <f t="shared" si="4"/>
        <v>2519</v>
      </c>
      <c r="N41" s="8">
        <f t="shared" si="5"/>
        <v>528990</v>
      </c>
    </row>
    <row r="42" spans="1:14">
      <c r="A42" s="38" t="s">
        <v>97</v>
      </c>
      <c r="B42" s="1" t="s">
        <v>98</v>
      </c>
      <c r="C42" s="1" t="s">
        <v>28</v>
      </c>
      <c r="D42" s="8">
        <v>185</v>
      </c>
      <c r="E42" s="1"/>
      <c r="F42" s="39">
        <f t="shared" si="0"/>
        <v>0</v>
      </c>
      <c r="G42" s="1"/>
      <c r="H42" s="8">
        <f t="shared" si="1"/>
        <v>0</v>
      </c>
      <c r="I42" s="1">
        <v>34</v>
      </c>
      <c r="J42" s="8">
        <f t="shared" si="2"/>
        <v>6290</v>
      </c>
      <c r="K42" s="1"/>
      <c r="L42" s="8">
        <f t="shared" si="3"/>
        <v>0</v>
      </c>
      <c r="M42" s="1">
        <f t="shared" si="4"/>
        <v>34</v>
      </c>
      <c r="N42" s="8">
        <f t="shared" si="5"/>
        <v>6290</v>
      </c>
    </row>
    <row r="43" spans="1:14">
      <c r="A43" s="38" t="s">
        <v>99</v>
      </c>
      <c r="B43" s="1" t="s">
        <v>100</v>
      </c>
      <c r="C43" s="1" t="s">
        <v>28</v>
      </c>
      <c r="D43" s="8">
        <v>240</v>
      </c>
      <c r="E43" s="1"/>
      <c r="F43" s="39">
        <f t="shared" si="0"/>
        <v>0</v>
      </c>
      <c r="G43" s="1"/>
      <c r="H43" s="8">
        <f t="shared" si="1"/>
        <v>0</v>
      </c>
      <c r="I43" s="1"/>
      <c r="J43" s="8">
        <f t="shared" si="2"/>
        <v>0</v>
      </c>
      <c r="K43" s="1">
        <v>1632</v>
      </c>
      <c r="L43" s="8">
        <f t="shared" si="3"/>
        <v>391680</v>
      </c>
      <c r="M43" s="1">
        <f t="shared" si="4"/>
        <v>1632</v>
      </c>
      <c r="N43" s="8">
        <f t="shared" si="5"/>
        <v>391680</v>
      </c>
    </row>
    <row r="44" spans="1:14">
      <c r="A44" s="40" t="s">
        <v>101</v>
      </c>
      <c r="B44" s="1" t="s">
        <v>102</v>
      </c>
      <c r="C44" s="1" t="s">
        <v>28</v>
      </c>
      <c r="D44" s="8">
        <v>500</v>
      </c>
      <c r="E44" s="1"/>
      <c r="F44" s="39">
        <f t="shared" si="0"/>
        <v>0</v>
      </c>
      <c r="G44" s="1">
        <v>93</v>
      </c>
      <c r="H44" s="8">
        <f t="shared" si="1"/>
        <v>46500</v>
      </c>
      <c r="I44" s="1"/>
      <c r="J44" s="8">
        <f t="shared" si="2"/>
        <v>0</v>
      </c>
      <c r="K44" s="1"/>
      <c r="L44" s="8">
        <f t="shared" si="3"/>
        <v>0</v>
      </c>
      <c r="M44" s="1">
        <f t="shared" si="4"/>
        <v>93</v>
      </c>
      <c r="N44" s="8">
        <f t="shared" si="5"/>
        <v>46500</v>
      </c>
    </row>
    <row r="45" spans="1:14">
      <c r="A45" s="38" t="s">
        <v>103</v>
      </c>
      <c r="B45" s="1" t="s">
        <v>104</v>
      </c>
      <c r="C45" s="1" t="s">
        <v>34</v>
      </c>
      <c r="D45" s="8">
        <v>5000</v>
      </c>
      <c r="E45" s="1"/>
      <c r="F45" s="39">
        <f t="shared" si="0"/>
        <v>0</v>
      </c>
      <c r="G45" s="1"/>
      <c r="H45" s="8">
        <f t="shared" si="1"/>
        <v>0</v>
      </c>
      <c r="I45" s="1">
        <v>1</v>
      </c>
      <c r="J45" s="8">
        <f t="shared" si="2"/>
        <v>5000</v>
      </c>
      <c r="K45" s="1">
        <v>1</v>
      </c>
      <c r="L45" s="8">
        <f t="shared" si="3"/>
        <v>5000</v>
      </c>
      <c r="M45" s="1">
        <f t="shared" si="4"/>
        <v>2</v>
      </c>
      <c r="N45" s="8">
        <f t="shared" si="5"/>
        <v>10000</v>
      </c>
    </row>
    <row r="46" spans="1:14">
      <c r="A46" s="38" t="s">
        <v>105</v>
      </c>
      <c r="B46" s="1" t="s">
        <v>106</v>
      </c>
      <c r="C46" s="1" t="s">
        <v>34</v>
      </c>
      <c r="D46" s="8">
        <v>2000</v>
      </c>
      <c r="E46" s="1">
        <v>3</v>
      </c>
      <c r="F46" s="39">
        <f t="shared" si="0"/>
        <v>6000</v>
      </c>
      <c r="G46" s="1">
        <v>2</v>
      </c>
      <c r="H46" s="8">
        <f t="shared" si="1"/>
        <v>4000</v>
      </c>
      <c r="I46" s="1">
        <v>4</v>
      </c>
      <c r="J46" s="8">
        <f t="shared" si="2"/>
        <v>8000</v>
      </c>
      <c r="K46" s="1">
        <v>17</v>
      </c>
      <c r="L46" s="8">
        <f t="shared" si="3"/>
        <v>34000</v>
      </c>
      <c r="M46" s="1">
        <f t="shared" si="4"/>
        <v>26</v>
      </c>
      <c r="N46" s="8">
        <f t="shared" si="5"/>
        <v>52000</v>
      </c>
    </row>
    <row r="47" spans="1:14">
      <c r="A47" s="38" t="s">
        <v>107</v>
      </c>
      <c r="B47" s="1" t="s">
        <v>108</v>
      </c>
      <c r="C47" s="1" t="s">
        <v>34</v>
      </c>
      <c r="D47" s="8">
        <v>3500</v>
      </c>
      <c r="E47" s="1"/>
      <c r="F47" s="39">
        <f t="shared" si="0"/>
        <v>0</v>
      </c>
      <c r="G47" s="1">
        <v>1</v>
      </c>
      <c r="H47" s="8">
        <f t="shared" si="1"/>
        <v>3500</v>
      </c>
      <c r="I47" s="1"/>
      <c r="J47" s="8">
        <f t="shared" si="2"/>
        <v>0</v>
      </c>
      <c r="K47" s="1">
        <v>3</v>
      </c>
      <c r="L47" s="8">
        <f t="shared" si="3"/>
        <v>10500</v>
      </c>
      <c r="M47" s="1">
        <f t="shared" si="4"/>
        <v>4</v>
      </c>
      <c r="N47" s="8">
        <f t="shared" si="5"/>
        <v>14000</v>
      </c>
    </row>
    <row r="48" spans="1:14">
      <c r="A48" s="38" t="s">
        <v>109</v>
      </c>
      <c r="B48" s="1" t="s">
        <v>110</v>
      </c>
      <c r="C48" s="1" t="s">
        <v>34</v>
      </c>
      <c r="D48" s="8">
        <v>4000</v>
      </c>
      <c r="E48" s="1"/>
      <c r="F48" s="39">
        <f t="shared" si="0"/>
        <v>0</v>
      </c>
      <c r="G48" s="1"/>
      <c r="H48" s="8">
        <f t="shared" si="1"/>
        <v>0</v>
      </c>
      <c r="I48" s="1">
        <v>9</v>
      </c>
      <c r="J48" s="8">
        <f t="shared" si="2"/>
        <v>36000</v>
      </c>
      <c r="K48" s="1"/>
      <c r="L48" s="8">
        <f t="shared" si="3"/>
        <v>0</v>
      </c>
      <c r="M48" s="1">
        <f t="shared" si="4"/>
        <v>9</v>
      </c>
      <c r="N48" s="8">
        <f t="shared" si="5"/>
        <v>36000</v>
      </c>
    </row>
    <row r="49" spans="1:14">
      <c r="A49" s="38" t="s">
        <v>111</v>
      </c>
      <c r="B49" s="1" t="s">
        <v>112</v>
      </c>
      <c r="C49" s="1" t="s">
        <v>34</v>
      </c>
      <c r="D49" s="8">
        <v>6000</v>
      </c>
      <c r="E49" s="1"/>
      <c r="F49" s="39">
        <f t="shared" si="0"/>
        <v>0</v>
      </c>
      <c r="G49" s="1"/>
      <c r="H49" s="8">
        <f t="shared" si="1"/>
        <v>0</v>
      </c>
      <c r="I49" s="1"/>
      <c r="J49" s="8">
        <f t="shared" si="2"/>
        <v>0</v>
      </c>
      <c r="K49" s="1">
        <v>7</v>
      </c>
      <c r="L49" s="8">
        <f t="shared" si="3"/>
        <v>42000</v>
      </c>
      <c r="M49" s="1">
        <f t="shared" si="4"/>
        <v>7</v>
      </c>
      <c r="N49" s="8">
        <f t="shared" si="5"/>
        <v>42000</v>
      </c>
    </row>
    <row r="50" spans="1:14">
      <c r="A50" s="40" t="s">
        <v>113</v>
      </c>
      <c r="B50" s="1" t="s">
        <v>114</v>
      </c>
      <c r="C50" s="1" t="s">
        <v>28</v>
      </c>
      <c r="D50" s="8">
        <v>35</v>
      </c>
      <c r="E50" s="1">
        <v>50</v>
      </c>
      <c r="F50" s="39">
        <f t="shared" si="0"/>
        <v>1750</v>
      </c>
      <c r="G50" s="1">
        <v>50</v>
      </c>
      <c r="H50" s="8">
        <f t="shared" si="1"/>
        <v>1750</v>
      </c>
      <c r="I50" s="1">
        <v>50</v>
      </c>
      <c r="J50" s="8">
        <f t="shared" si="2"/>
        <v>1750</v>
      </c>
      <c r="K50" s="1">
        <v>50</v>
      </c>
      <c r="L50" s="8">
        <f t="shared" si="3"/>
        <v>1750</v>
      </c>
      <c r="M50" s="1">
        <f t="shared" si="4"/>
        <v>200</v>
      </c>
      <c r="N50" s="8">
        <f t="shared" si="5"/>
        <v>7000</v>
      </c>
    </row>
    <row r="51" spans="1:14">
      <c r="A51" s="38" t="s">
        <v>115</v>
      </c>
      <c r="B51" s="1" t="s">
        <v>116</v>
      </c>
      <c r="C51" s="1" t="s">
        <v>28</v>
      </c>
      <c r="D51" s="8">
        <v>40</v>
      </c>
      <c r="E51" s="1">
        <v>50</v>
      </c>
      <c r="F51" s="39">
        <f t="shared" si="0"/>
        <v>2000</v>
      </c>
      <c r="G51" s="1">
        <v>50</v>
      </c>
      <c r="H51" s="8">
        <f t="shared" si="1"/>
        <v>2000</v>
      </c>
      <c r="I51" s="1">
        <v>50</v>
      </c>
      <c r="J51" s="8">
        <f t="shared" si="2"/>
        <v>2000</v>
      </c>
      <c r="K51" s="1">
        <v>50</v>
      </c>
      <c r="L51" s="8">
        <f t="shared" si="3"/>
        <v>2000</v>
      </c>
      <c r="M51" s="1">
        <f t="shared" si="4"/>
        <v>200</v>
      </c>
      <c r="N51" s="8">
        <f t="shared" si="5"/>
        <v>8000</v>
      </c>
    </row>
    <row r="52" spans="1:14">
      <c r="A52" s="38" t="s">
        <v>117</v>
      </c>
      <c r="B52" s="1" t="s">
        <v>118</v>
      </c>
      <c r="C52" s="1" t="s">
        <v>28</v>
      </c>
      <c r="D52" s="8">
        <v>50</v>
      </c>
      <c r="E52" s="1">
        <v>50</v>
      </c>
      <c r="F52" s="39">
        <f t="shared" si="0"/>
        <v>2500</v>
      </c>
      <c r="G52" s="1">
        <v>50</v>
      </c>
      <c r="H52" s="8">
        <f t="shared" si="1"/>
        <v>2500</v>
      </c>
      <c r="I52" s="1">
        <v>50</v>
      </c>
      <c r="J52" s="8">
        <f t="shared" si="2"/>
        <v>2500</v>
      </c>
      <c r="K52" s="1">
        <v>50</v>
      </c>
      <c r="L52" s="8">
        <f t="shared" si="3"/>
        <v>2500</v>
      </c>
      <c r="M52" s="1">
        <f t="shared" si="4"/>
        <v>200</v>
      </c>
      <c r="N52" s="8">
        <f t="shared" si="5"/>
        <v>10000</v>
      </c>
    </row>
    <row r="53" spans="1:14">
      <c r="A53" s="38" t="s">
        <v>60</v>
      </c>
      <c r="B53" s="1" t="s">
        <v>119</v>
      </c>
      <c r="C53" s="1" t="s">
        <v>28</v>
      </c>
      <c r="D53" s="8">
        <v>20</v>
      </c>
      <c r="E53" s="1"/>
      <c r="F53" s="39">
        <f t="shared" si="0"/>
        <v>0</v>
      </c>
      <c r="G53" s="1">
        <v>2367</v>
      </c>
      <c r="H53" s="8">
        <f t="shared" si="1"/>
        <v>47340</v>
      </c>
      <c r="I53" s="1">
        <v>585</v>
      </c>
      <c r="J53" s="8">
        <f t="shared" si="2"/>
        <v>11700</v>
      </c>
      <c r="K53" s="1"/>
      <c r="L53" s="8">
        <f t="shared" si="3"/>
        <v>0</v>
      </c>
      <c r="M53" s="1">
        <f t="shared" si="4"/>
        <v>2952</v>
      </c>
      <c r="N53" s="8">
        <f t="shared" si="5"/>
        <v>59040</v>
      </c>
    </row>
    <row r="54" spans="1:14">
      <c r="A54" s="76" t="s">
        <v>120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8"/>
    </row>
    <row r="55" spans="1:14">
      <c r="A55" s="38" t="s">
        <v>121</v>
      </c>
      <c r="B55" s="1" t="s">
        <v>122</v>
      </c>
      <c r="C55" s="1" t="s">
        <v>66</v>
      </c>
      <c r="D55" s="8">
        <v>150</v>
      </c>
      <c r="E55" s="1"/>
      <c r="F55" s="39">
        <f t="shared" si="0"/>
        <v>0</v>
      </c>
      <c r="G55" s="1">
        <v>14</v>
      </c>
      <c r="H55" s="8">
        <f t="shared" si="1"/>
        <v>2100</v>
      </c>
      <c r="I55" s="1"/>
      <c r="J55" s="8">
        <f t="shared" si="2"/>
        <v>0</v>
      </c>
      <c r="K55" s="1"/>
      <c r="L55" s="8">
        <f t="shared" si="3"/>
        <v>0</v>
      </c>
      <c r="M55" s="1">
        <f t="shared" si="4"/>
        <v>14</v>
      </c>
      <c r="N55" s="8">
        <f t="shared" si="5"/>
        <v>2100</v>
      </c>
    </row>
    <row r="56" spans="1:14">
      <c r="A56" s="38" t="s">
        <v>121</v>
      </c>
      <c r="B56" s="1" t="s">
        <v>123</v>
      </c>
      <c r="C56" s="1" t="s">
        <v>66</v>
      </c>
      <c r="D56" s="8">
        <v>100</v>
      </c>
      <c r="E56" s="1">
        <v>6</v>
      </c>
      <c r="F56" s="39">
        <f t="shared" si="0"/>
        <v>600</v>
      </c>
      <c r="G56" s="1">
        <v>12</v>
      </c>
      <c r="H56" s="8">
        <f t="shared" si="1"/>
        <v>1200</v>
      </c>
      <c r="I56" s="1">
        <v>163</v>
      </c>
      <c r="J56" s="8">
        <f t="shared" si="2"/>
        <v>16300</v>
      </c>
      <c r="K56" s="1">
        <v>74</v>
      </c>
      <c r="L56" s="8">
        <f t="shared" si="3"/>
        <v>7400</v>
      </c>
      <c r="M56" s="1">
        <f t="shared" si="4"/>
        <v>255</v>
      </c>
      <c r="N56" s="8">
        <f t="shared" si="5"/>
        <v>25500</v>
      </c>
    </row>
    <row r="57" spans="1:14">
      <c r="A57" s="76" t="s">
        <v>124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8"/>
    </row>
    <row r="58" spans="1:14">
      <c r="A58" s="38" t="s">
        <v>125</v>
      </c>
      <c r="B58" s="1" t="s">
        <v>126</v>
      </c>
      <c r="C58" s="1" t="s">
        <v>34</v>
      </c>
      <c r="D58" s="8">
        <v>75</v>
      </c>
      <c r="E58" s="1"/>
      <c r="F58" s="39">
        <f t="shared" si="0"/>
        <v>0</v>
      </c>
      <c r="G58" s="1">
        <v>2</v>
      </c>
      <c r="H58" s="8">
        <f t="shared" si="1"/>
        <v>150</v>
      </c>
      <c r="I58" s="1"/>
      <c r="J58" s="8">
        <f t="shared" si="2"/>
        <v>0</v>
      </c>
      <c r="K58" s="1"/>
      <c r="L58" s="8">
        <f t="shared" si="3"/>
        <v>0</v>
      </c>
      <c r="M58" s="1">
        <f t="shared" si="4"/>
        <v>2</v>
      </c>
      <c r="N58" s="8">
        <f t="shared" si="5"/>
        <v>150</v>
      </c>
    </row>
    <row r="59" spans="1:14">
      <c r="A59" s="76" t="s">
        <v>127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8"/>
    </row>
    <row r="60" spans="1:14">
      <c r="A60" s="38" t="s">
        <v>128</v>
      </c>
      <c r="B60" s="1" t="s">
        <v>129</v>
      </c>
      <c r="C60" s="1" t="s">
        <v>31</v>
      </c>
      <c r="D60" s="8">
        <v>8000</v>
      </c>
      <c r="E60" s="1">
        <v>0.25</v>
      </c>
      <c r="F60" s="39">
        <f t="shared" si="0"/>
        <v>2000</v>
      </c>
      <c r="G60" s="1">
        <v>0.25</v>
      </c>
      <c r="H60" s="8">
        <f t="shared" si="1"/>
        <v>2000</v>
      </c>
      <c r="I60" s="1">
        <v>0.25</v>
      </c>
      <c r="J60" s="8">
        <f t="shared" si="2"/>
        <v>2000</v>
      </c>
      <c r="K60" s="1">
        <v>0.25</v>
      </c>
      <c r="L60" s="8">
        <f t="shared" si="3"/>
        <v>2000</v>
      </c>
      <c r="M60" s="1">
        <f t="shared" si="4"/>
        <v>1</v>
      </c>
      <c r="N60" s="8">
        <f t="shared" si="5"/>
        <v>8000</v>
      </c>
    </row>
    <row r="61" spans="1:14">
      <c r="A61" s="38" t="s">
        <v>130</v>
      </c>
      <c r="B61" s="1" t="s">
        <v>131</v>
      </c>
      <c r="C61" s="1" t="s">
        <v>31</v>
      </c>
      <c r="D61" s="8">
        <v>8000</v>
      </c>
      <c r="E61" s="1">
        <v>0.25</v>
      </c>
      <c r="F61" s="39">
        <f t="shared" si="0"/>
        <v>2000</v>
      </c>
      <c r="G61" s="1">
        <v>0.25</v>
      </c>
      <c r="H61" s="8">
        <f t="shared" si="1"/>
        <v>2000</v>
      </c>
      <c r="I61" s="1">
        <v>0.25</v>
      </c>
      <c r="J61" s="8">
        <f t="shared" si="2"/>
        <v>2000</v>
      </c>
      <c r="K61" s="1">
        <v>0.25</v>
      </c>
      <c r="L61" s="8">
        <f t="shared" si="3"/>
        <v>2000</v>
      </c>
      <c r="M61" s="1">
        <f t="shared" si="4"/>
        <v>1</v>
      </c>
      <c r="N61" s="8">
        <f t="shared" si="5"/>
        <v>8000</v>
      </c>
    </row>
    <row r="62" spans="1:14">
      <c r="A62" s="38" t="s">
        <v>132</v>
      </c>
      <c r="B62" s="1" t="s">
        <v>133</v>
      </c>
      <c r="C62" s="1" t="s">
        <v>31</v>
      </c>
      <c r="D62" s="8">
        <v>10000</v>
      </c>
      <c r="E62" s="1">
        <v>0.25</v>
      </c>
      <c r="F62" s="39">
        <f t="shared" si="0"/>
        <v>2500</v>
      </c>
      <c r="G62" s="1">
        <v>0.25</v>
      </c>
      <c r="H62" s="8">
        <f t="shared" si="1"/>
        <v>2500</v>
      </c>
      <c r="I62" s="1">
        <v>0.25</v>
      </c>
      <c r="J62" s="8">
        <f t="shared" si="2"/>
        <v>2500</v>
      </c>
      <c r="K62" s="1">
        <v>0.25</v>
      </c>
      <c r="L62" s="8">
        <f t="shared" si="3"/>
        <v>2500</v>
      </c>
      <c r="M62" s="1">
        <f t="shared" si="4"/>
        <v>1</v>
      </c>
      <c r="N62" s="8">
        <f t="shared" si="5"/>
        <v>10000</v>
      </c>
    </row>
    <row r="63" spans="1:14">
      <c r="A63" s="1"/>
      <c r="B63" s="1" t="s">
        <v>134</v>
      </c>
      <c r="C63" s="1"/>
      <c r="D63" s="1"/>
      <c r="E63" s="1"/>
      <c r="F63" s="8">
        <v>25000</v>
      </c>
      <c r="G63" s="1"/>
      <c r="H63" s="8">
        <v>60000</v>
      </c>
      <c r="I63" s="1"/>
      <c r="J63" s="8">
        <v>220000</v>
      </c>
      <c r="K63" s="1"/>
      <c r="L63" s="8">
        <v>340000</v>
      </c>
      <c r="M63" s="1"/>
      <c r="N63" s="8">
        <f>F63+H63+J63+L63</f>
        <v>645000</v>
      </c>
    </row>
    <row r="64" spans="1:14" s="3" customFormat="1">
      <c r="A64" s="1"/>
      <c r="B64" s="1" t="s">
        <v>135</v>
      </c>
      <c r="C64" s="1"/>
      <c r="D64" s="1"/>
      <c r="E64" s="1"/>
      <c r="F64" s="8">
        <v>4000</v>
      </c>
      <c r="G64" s="1"/>
      <c r="H64" s="8">
        <v>4000</v>
      </c>
      <c r="I64" s="1"/>
      <c r="J64" s="8">
        <v>4000</v>
      </c>
      <c r="K64" s="1"/>
      <c r="L64" s="8">
        <v>4000</v>
      </c>
      <c r="M64" s="1"/>
      <c r="N64" s="8">
        <f>F64+H64+J64+L64</f>
        <v>16000</v>
      </c>
    </row>
    <row r="65" spans="1:14">
      <c r="A65" s="1"/>
      <c r="B65" s="1" t="s">
        <v>141</v>
      </c>
      <c r="C65" s="1" t="s">
        <v>142</v>
      </c>
      <c r="D65" s="8">
        <v>50000</v>
      </c>
      <c r="E65" s="1"/>
      <c r="F65" s="8">
        <f>E65*D65</f>
        <v>0</v>
      </c>
      <c r="G65" s="1"/>
      <c r="H65" s="8">
        <f>G65*D65</f>
        <v>0</v>
      </c>
      <c r="I65" s="1">
        <v>0.42</v>
      </c>
      <c r="J65" s="8">
        <f>I65*D65</f>
        <v>21000</v>
      </c>
      <c r="K65" s="1">
        <v>0.31</v>
      </c>
      <c r="L65" s="8">
        <f>K65*D65</f>
        <v>15500</v>
      </c>
      <c r="M65" s="1">
        <f>K65+I65+G65+E65</f>
        <v>0.73</v>
      </c>
      <c r="N65" s="8">
        <f>M65*D65</f>
        <v>36500</v>
      </c>
    </row>
    <row r="66" spans="1:14">
      <c r="E66" s="65" t="s">
        <v>5</v>
      </c>
      <c r="F66" s="66">
        <f>SUM(F60:F64,F58,F55:F56,F29:F53,F21:F26,F3:F19)</f>
        <v>155927</v>
      </c>
      <c r="G66" s="65" t="s">
        <v>7</v>
      </c>
      <c r="H66" s="66">
        <f>SUM(H60:H64,H58,H55:H56,H29:H53,H21:H26,H3:H19)</f>
        <v>333007</v>
      </c>
      <c r="I66" s="65" t="s">
        <v>9</v>
      </c>
      <c r="J66" s="66">
        <f>SUM(J60:J64,J58,J55:J56,J29:J53,J21:J26,J3:J19)</f>
        <v>1349088</v>
      </c>
      <c r="K66" s="65" t="s">
        <v>11</v>
      </c>
      <c r="L66" s="66">
        <f>SUM(L60:L64,L58,L55:L56,L29:L53,L21:L26,L3:L19)</f>
        <v>2098157</v>
      </c>
      <c r="M66" s="65" t="s">
        <v>136</v>
      </c>
      <c r="N66" s="67">
        <f>SUM(N60:N64,N58,N55:N56,N29:N53,N21:N26,N3:N19)</f>
        <v>3936179</v>
      </c>
    </row>
    <row r="69" spans="1:14">
      <c r="J69" s="23">
        <f>J66-Estimate!J64</f>
        <v>179603</v>
      </c>
      <c r="L69" s="23">
        <f>L66-Estimate!L64</f>
        <v>208212</v>
      </c>
    </row>
  </sheetData>
  <mergeCells count="6">
    <mergeCell ref="A59:N59"/>
    <mergeCell ref="A2:N2"/>
    <mergeCell ref="A20:N20"/>
    <mergeCell ref="A27:N27"/>
    <mergeCell ref="A54:N54"/>
    <mergeCell ref="A57:N57"/>
  </mergeCells>
  <pageMargins left="0.7" right="0.7" top="0.75" bottom="0.75" header="0.3" footer="0.3"/>
  <pageSetup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2B02-108A-4444-BA6C-5C693B3B2C8B}">
  <sheetPr>
    <pageSetUpPr fitToPage="1"/>
  </sheetPr>
  <dimension ref="A1:V40"/>
  <sheetViews>
    <sheetView topLeftCell="A7" workbookViewId="0">
      <selection activeCell="J40" sqref="J40"/>
    </sheetView>
  </sheetViews>
  <sheetFormatPr defaultRowHeight="14.45"/>
  <cols>
    <col min="2" max="2" width="32.85546875" bestFit="1" customWidth="1"/>
    <col min="5" max="5" width="10.28515625" bestFit="1" customWidth="1"/>
    <col min="6" max="6" width="12.42578125" bestFit="1" customWidth="1"/>
    <col min="9" max="9" width="21.140625" customWidth="1"/>
    <col min="10" max="10" width="23.85546875" bestFit="1" customWidth="1"/>
    <col min="14" max="14" width="12.28515625" bestFit="1" customWidth="1"/>
    <col min="15" max="15" width="27.140625" bestFit="1" customWidth="1"/>
  </cols>
  <sheetData>
    <row r="1" spans="1:6">
      <c r="A1" s="44" t="s">
        <v>143</v>
      </c>
    </row>
    <row r="2" spans="1:6">
      <c r="B2" s="1" t="s">
        <v>144</v>
      </c>
      <c r="C2" s="36"/>
      <c r="D2" s="37"/>
      <c r="E2" s="37"/>
      <c r="F2" s="37"/>
    </row>
    <row r="3" spans="1:6">
      <c r="B3" s="1" t="s">
        <v>145</v>
      </c>
      <c r="C3" s="1" t="s">
        <v>146</v>
      </c>
      <c r="D3" s="1" t="s">
        <v>16</v>
      </c>
      <c r="E3" s="1" t="s">
        <v>147</v>
      </c>
      <c r="F3" s="1" t="s">
        <v>27</v>
      </c>
    </row>
    <row r="4" spans="1:6">
      <c r="B4" s="1" t="s">
        <v>148</v>
      </c>
      <c r="C4" s="1">
        <v>12.5</v>
      </c>
      <c r="D4" s="1" t="s">
        <v>28</v>
      </c>
      <c r="E4" s="8">
        <v>100</v>
      </c>
      <c r="F4" s="31">
        <f>C4*E4</f>
        <v>1250</v>
      </c>
    </row>
    <row r="5" spans="1:6">
      <c r="B5" s="1" t="s">
        <v>149</v>
      </c>
      <c r="C5" s="1">
        <v>14</v>
      </c>
      <c r="D5" s="1" t="s">
        <v>66</v>
      </c>
      <c r="E5" s="8">
        <v>150</v>
      </c>
      <c r="F5" s="31">
        <f t="shared" ref="F5:F10" si="0">C5*E5</f>
        <v>2100</v>
      </c>
    </row>
    <row r="6" spans="1:6">
      <c r="B6" s="1" t="s">
        <v>150</v>
      </c>
      <c r="C6" s="1">
        <v>1011</v>
      </c>
      <c r="D6" s="1" t="s">
        <v>28</v>
      </c>
      <c r="E6" s="8">
        <v>20</v>
      </c>
      <c r="F6" s="31">
        <f t="shared" si="0"/>
        <v>20220</v>
      </c>
    </row>
    <row r="7" spans="1:6">
      <c r="B7" s="1" t="s">
        <v>151</v>
      </c>
      <c r="C7" s="1">
        <v>2</v>
      </c>
      <c r="D7" s="1" t="s">
        <v>34</v>
      </c>
      <c r="E7" s="8">
        <v>75</v>
      </c>
      <c r="F7" s="31">
        <f t="shared" si="0"/>
        <v>150</v>
      </c>
    </row>
    <row r="8" spans="1:6">
      <c r="B8" s="1" t="s">
        <v>152</v>
      </c>
      <c r="C8" s="1">
        <v>2</v>
      </c>
      <c r="D8" s="1" t="s">
        <v>47</v>
      </c>
      <c r="E8" s="8">
        <v>200</v>
      </c>
      <c r="F8" s="31">
        <f t="shared" si="0"/>
        <v>400</v>
      </c>
    </row>
    <row r="9" spans="1:6">
      <c r="B9" s="1" t="s">
        <v>153</v>
      </c>
      <c r="C9" s="1">
        <v>62</v>
      </c>
      <c r="D9" s="1" t="s">
        <v>28</v>
      </c>
      <c r="E9" s="8">
        <v>150</v>
      </c>
      <c r="F9" s="31">
        <f t="shared" si="0"/>
        <v>9300</v>
      </c>
    </row>
    <row r="10" spans="1:6">
      <c r="B10" s="1" t="s">
        <v>154</v>
      </c>
      <c r="C10" s="1">
        <v>1</v>
      </c>
      <c r="D10" s="1" t="s">
        <v>34</v>
      </c>
      <c r="E10" s="8">
        <v>3500</v>
      </c>
      <c r="F10" s="31">
        <f t="shared" si="0"/>
        <v>3500</v>
      </c>
    </row>
    <row r="11" spans="1:6">
      <c r="B11" s="35"/>
      <c r="C11" s="35"/>
      <c r="D11" s="34"/>
      <c r="E11" s="32" t="s">
        <v>155</v>
      </c>
      <c r="F11" s="33">
        <f>SUM(F4:F10)</f>
        <v>36920</v>
      </c>
    </row>
    <row r="12" spans="1:6">
      <c r="E12" s="35"/>
      <c r="F12" s="35"/>
    </row>
    <row r="13" spans="1:6">
      <c r="B13" s="1" t="s">
        <v>156</v>
      </c>
      <c r="C13" s="36"/>
      <c r="D13" s="37"/>
      <c r="E13" s="37"/>
      <c r="F13" s="37"/>
    </row>
    <row r="14" spans="1:6">
      <c r="B14" s="1" t="s">
        <v>145</v>
      </c>
      <c r="C14" s="1" t="s">
        <v>146</v>
      </c>
      <c r="D14" s="1" t="s">
        <v>16</v>
      </c>
      <c r="E14" s="1" t="s">
        <v>147</v>
      </c>
      <c r="F14" s="1" t="s">
        <v>27</v>
      </c>
    </row>
    <row r="15" spans="1:6">
      <c r="B15" s="1" t="s">
        <v>157</v>
      </c>
      <c r="C15" s="1">
        <v>9</v>
      </c>
      <c r="D15" s="1" t="s">
        <v>34</v>
      </c>
      <c r="E15" s="8">
        <v>4000</v>
      </c>
      <c r="F15" s="31">
        <f t="shared" ref="F15" si="1">C15*E15</f>
        <v>36000</v>
      </c>
    </row>
    <row r="16" spans="1:6">
      <c r="B16" s="1" t="s">
        <v>158</v>
      </c>
      <c r="C16" s="1">
        <v>2519</v>
      </c>
      <c r="D16" s="1" t="s">
        <v>28</v>
      </c>
      <c r="E16" s="8">
        <v>210</v>
      </c>
      <c r="F16" s="31">
        <f>C16*E16</f>
        <v>528990</v>
      </c>
    </row>
    <row r="17" spans="2:22">
      <c r="B17" s="1" t="s">
        <v>98</v>
      </c>
      <c r="C17" s="1">
        <v>34</v>
      </c>
      <c r="D17" s="1" t="s">
        <v>28</v>
      </c>
      <c r="E17" s="8">
        <v>185</v>
      </c>
      <c r="F17" s="31">
        <f>C17*E17</f>
        <v>6290</v>
      </c>
    </row>
    <row r="18" spans="2:22">
      <c r="B18" s="1" t="s">
        <v>159</v>
      </c>
      <c r="C18" s="1">
        <v>2341</v>
      </c>
      <c r="D18" s="1" t="s">
        <v>28</v>
      </c>
      <c r="E18" s="8">
        <v>20</v>
      </c>
      <c r="F18" s="31">
        <f t="shared" ref="F18:F20" si="2">C18*E18</f>
        <v>46820</v>
      </c>
    </row>
    <row r="19" spans="2:22">
      <c r="B19" s="1" t="s">
        <v>160</v>
      </c>
      <c r="C19" s="1">
        <v>2</v>
      </c>
      <c r="D19" s="1" t="s">
        <v>34</v>
      </c>
      <c r="E19" s="8">
        <v>800</v>
      </c>
      <c r="F19" s="31">
        <f t="shared" si="2"/>
        <v>1600</v>
      </c>
    </row>
    <row r="20" spans="2:22">
      <c r="B20" s="1" t="s">
        <v>59</v>
      </c>
      <c r="C20" s="1">
        <v>10</v>
      </c>
      <c r="D20" s="1" t="s">
        <v>34</v>
      </c>
      <c r="E20" s="8">
        <v>210</v>
      </c>
      <c r="F20" s="8">
        <f t="shared" si="2"/>
        <v>2100</v>
      </c>
    </row>
    <row r="21" spans="2:22">
      <c r="B21" s="35"/>
      <c r="C21" s="35"/>
      <c r="D21" s="34"/>
      <c r="E21" s="32" t="s">
        <v>155</v>
      </c>
      <c r="F21" s="33">
        <f>SUM(F15:F20)</f>
        <v>621800</v>
      </c>
    </row>
    <row r="22" spans="2:22">
      <c r="E22" s="42"/>
      <c r="F22" s="43"/>
    </row>
    <row r="23" spans="2:22">
      <c r="E23" s="41" t="s">
        <v>161</v>
      </c>
      <c r="F23" s="23">
        <f>F11+F21</f>
        <v>658720</v>
      </c>
    </row>
    <row r="25" spans="2:22">
      <c r="B25" s="1" t="s">
        <v>162</v>
      </c>
      <c r="C25" s="36"/>
      <c r="D25" s="37"/>
      <c r="E25" s="37"/>
      <c r="F25" s="37"/>
      <c r="I25" t="s">
        <v>163</v>
      </c>
    </row>
    <row r="26" spans="2:22">
      <c r="B26" s="1" t="s">
        <v>145</v>
      </c>
      <c r="C26" s="1" t="s">
        <v>146</v>
      </c>
      <c r="D26" s="1" t="s">
        <v>16</v>
      </c>
      <c r="E26" s="1" t="s">
        <v>147</v>
      </c>
      <c r="F26" s="1" t="s">
        <v>27</v>
      </c>
      <c r="I26" t="s">
        <v>164</v>
      </c>
    </row>
    <row r="27" spans="2:22">
      <c r="B27" s="1" t="s">
        <v>154</v>
      </c>
      <c r="C27" s="1">
        <v>3</v>
      </c>
      <c r="D27" s="1" t="s">
        <v>34</v>
      </c>
      <c r="E27" s="8">
        <v>3500</v>
      </c>
      <c r="F27" s="8">
        <f>E27*C27</f>
        <v>10500</v>
      </c>
      <c r="K27" t="s">
        <v>146</v>
      </c>
      <c r="L27" t="s">
        <v>16</v>
      </c>
      <c r="M27" t="s">
        <v>165</v>
      </c>
      <c r="N27" t="s">
        <v>155</v>
      </c>
    </row>
    <row r="28" spans="2:22">
      <c r="B28" s="1" t="s">
        <v>166</v>
      </c>
      <c r="C28" s="1">
        <v>7</v>
      </c>
      <c r="D28" s="1" t="s">
        <v>34</v>
      </c>
      <c r="E28" s="8">
        <v>2000</v>
      </c>
      <c r="F28" s="8">
        <f t="shared" ref="F28:F35" si="3">E28*C28</f>
        <v>14000</v>
      </c>
      <c r="I28" t="s">
        <v>167</v>
      </c>
      <c r="J28" t="s">
        <v>100</v>
      </c>
      <c r="K28">
        <v>1632</v>
      </c>
      <c r="L28" t="s">
        <v>168</v>
      </c>
      <c r="M28" s="4">
        <v>240</v>
      </c>
      <c r="N28" s="23">
        <f>K28*M28</f>
        <v>391680</v>
      </c>
    </row>
    <row r="29" spans="2:22">
      <c r="B29" s="1" t="s">
        <v>79</v>
      </c>
      <c r="C29" s="1">
        <v>116</v>
      </c>
      <c r="D29" s="1" t="s">
        <v>28</v>
      </c>
      <c r="E29" s="8">
        <v>120</v>
      </c>
      <c r="F29" s="8">
        <f t="shared" si="3"/>
        <v>13920</v>
      </c>
      <c r="M29" s="4"/>
      <c r="N29" s="23"/>
    </row>
    <row r="30" spans="2:22">
      <c r="B30" s="1" t="s">
        <v>85</v>
      </c>
      <c r="C30" s="1">
        <v>1392</v>
      </c>
      <c r="D30" s="1" t="s">
        <v>28</v>
      </c>
      <c r="E30" s="8">
        <v>120</v>
      </c>
      <c r="F30" s="8">
        <f t="shared" si="3"/>
        <v>167040</v>
      </c>
      <c r="J30" t="s">
        <v>93</v>
      </c>
      <c r="K30">
        <v>1108</v>
      </c>
      <c r="L30" t="s">
        <v>168</v>
      </c>
      <c r="M30" s="4">
        <v>150</v>
      </c>
      <c r="N30" s="23">
        <f>K30*M30</f>
        <v>166200</v>
      </c>
      <c r="R30" t="s">
        <v>169</v>
      </c>
      <c r="U30" t="s">
        <v>170</v>
      </c>
    </row>
    <row r="31" spans="2:22">
      <c r="B31" s="1" t="s">
        <v>91</v>
      </c>
      <c r="C31" s="1">
        <v>967</v>
      </c>
      <c r="D31" s="1" t="s">
        <v>28</v>
      </c>
      <c r="E31" s="8">
        <v>150</v>
      </c>
      <c r="F31" s="8">
        <f t="shared" si="3"/>
        <v>145050</v>
      </c>
      <c r="M31" t="s">
        <v>171</v>
      </c>
      <c r="N31" s="23">
        <f>N28+N30</f>
        <v>557880</v>
      </c>
      <c r="R31" t="s">
        <v>172</v>
      </c>
      <c r="S31" t="s">
        <v>173</v>
      </c>
      <c r="U31" t="s">
        <v>172</v>
      </c>
      <c r="V31" t="s">
        <v>173</v>
      </c>
    </row>
    <row r="32" spans="2:22">
      <c r="B32" s="1" t="s">
        <v>160</v>
      </c>
      <c r="C32" s="1">
        <v>3</v>
      </c>
      <c r="D32" s="1" t="s">
        <v>34</v>
      </c>
      <c r="E32" s="8">
        <v>800</v>
      </c>
      <c r="F32" s="8">
        <f t="shared" si="3"/>
        <v>2400</v>
      </c>
      <c r="R32" t="s">
        <v>174</v>
      </c>
      <c r="S32" t="s">
        <v>175</v>
      </c>
      <c r="U32" t="s">
        <v>176</v>
      </c>
      <c r="V32" t="s">
        <v>177</v>
      </c>
    </row>
    <row r="33" spans="2:22">
      <c r="B33" s="1" t="s">
        <v>178</v>
      </c>
      <c r="C33" s="1">
        <v>74</v>
      </c>
      <c r="D33" s="1" t="s">
        <v>66</v>
      </c>
      <c r="E33" s="8">
        <v>100</v>
      </c>
      <c r="F33" s="8">
        <f t="shared" si="3"/>
        <v>7400</v>
      </c>
      <c r="I33" t="s">
        <v>179</v>
      </c>
      <c r="J33" t="s">
        <v>93</v>
      </c>
      <c r="K33">
        <v>1632</v>
      </c>
      <c r="L33" t="s">
        <v>168</v>
      </c>
      <c r="M33" s="4">
        <v>150</v>
      </c>
      <c r="N33" s="23">
        <f>K33*M33</f>
        <v>244800</v>
      </c>
      <c r="R33" t="s">
        <v>180</v>
      </c>
      <c r="S33" t="s">
        <v>181</v>
      </c>
      <c r="U33" t="s">
        <v>174</v>
      </c>
      <c r="V33" t="s">
        <v>182</v>
      </c>
    </row>
    <row r="34" spans="2:22">
      <c r="B34" s="1" t="s">
        <v>159</v>
      </c>
      <c r="C34" s="1">
        <v>521</v>
      </c>
      <c r="D34" s="1" t="s">
        <v>168</v>
      </c>
      <c r="E34" s="8">
        <v>20</v>
      </c>
      <c r="F34" s="8">
        <f t="shared" si="3"/>
        <v>10420</v>
      </c>
      <c r="J34" t="s">
        <v>82</v>
      </c>
      <c r="K34">
        <v>1108</v>
      </c>
      <c r="L34" t="s">
        <v>168</v>
      </c>
      <c r="M34" s="4">
        <v>100</v>
      </c>
      <c r="N34" s="23">
        <f>K34*M34</f>
        <v>110800</v>
      </c>
    </row>
    <row r="35" spans="2:22">
      <c r="B35" s="1" t="s">
        <v>59</v>
      </c>
      <c r="C35" s="1">
        <v>8</v>
      </c>
      <c r="D35" s="1" t="s">
        <v>34</v>
      </c>
      <c r="E35" s="8">
        <v>210</v>
      </c>
      <c r="F35" s="8">
        <f t="shared" si="3"/>
        <v>1680</v>
      </c>
      <c r="N35" s="23">
        <f>N33+N34</f>
        <v>355600</v>
      </c>
    </row>
    <row r="36" spans="2:22">
      <c r="B36" s="35"/>
      <c r="C36" s="35"/>
      <c r="D36" s="34"/>
      <c r="E36" s="32" t="s">
        <v>155</v>
      </c>
      <c r="F36" s="33">
        <f>SUM(F27:F35)</f>
        <v>372410</v>
      </c>
    </row>
    <row r="37" spans="2:22">
      <c r="M37" s="41" t="s">
        <v>183</v>
      </c>
      <c r="N37" s="23">
        <f>N31-N35</f>
        <v>202280</v>
      </c>
    </row>
    <row r="38" spans="2:22">
      <c r="E38" s="41" t="s">
        <v>184</v>
      </c>
      <c r="F38" s="23">
        <f>F36</f>
        <v>372410</v>
      </c>
    </row>
    <row r="40" spans="2:22">
      <c r="I40" s="41" t="s">
        <v>185</v>
      </c>
      <c r="J40" s="23">
        <f>F38+N37</f>
        <v>574690</v>
      </c>
    </row>
  </sheetData>
  <phoneticPr fontId="7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775E-274A-4B45-97E3-F2302993BA0F}">
  <sheetPr>
    <pageSetUpPr fitToPage="1"/>
  </sheetPr>
  <dimension ref="A1:W31"/>
  <sheetViews>
    <sheetView workbookViewId="0">
      <pane xSplit="1" topLeftCell="B1" activePane="topRight" state="frozen"/>
      <selection pane="topRight" activeCell="V22" sqref="V22"/>
    </sheetView>
  </sheetViews>
  <sheetFormatPr defaultRowHeight="14.45"/>
  <cols>
    <col min="1" max="1" width="10.7109375" bestFit="1" customWidth="1"/>
    <col min="2" max="2" width="19.5703125" bestFit="1" customWidth="1"/>
    <col min="3" max="3" width="26.140625" bestFit="1" customWidth="1"/>
    <col min="4" max="4" width="22.42578125" bestFit="1" customWidth="1"/>
    <col min="5" max="5" width="19.5703125" hidden="1" customWidth="1"/>
    <col min="6" max="6" width="23.28515625" hidden="1" customWidth="1"/>
    <col min="7" max="7" width="27.42578125" hidden="1" customWidth="1"/>
    <col min="8" max="8" width="15.7109375" hidden="1" customWidth="1"/>
    <col min="9" max="9" width="25.5703125" hidden="1" customWidth="1"/>
    <col min="10" max="10" width="25" hidden="1" customWidth="1"/>
    <col min="11" max="11" width="17.7109375" customWidth="1"/>
    <col min="19" max="19" width="11.28515625" bestFit="1" customWidth="1"/>
    <col min="21" max="21" width="12" customWidth="1"/>
    <col min="22" max="22" width="15.28515625" customWidth="1"/>
    <col min="23" max="23" width="14" customWidth="1"/>
  </cols>
  <sheetData>
    <row r="1" spans="1:23">
      <c r="A1" s="44" t="s">
        <v>0</v>
      </c>
    </row>
    <row r="2" spans="1:23" ht="29.1">
      <c r="A2" s="5" t="s">
        <v>186</v>
      </c>
      <c r="B2" s="25" t="s">
        <v>187</v>
      </c>
      <c r="C2" s="5" t="s">
        <v>188</v>
      </c>
      <c r="D2" s="5" t="s">
        <v>189</v>
      </c>
      <c r="E2" s="5" t="s">
        <v>190</v>
      </c>
      <c r="F2" s="5" t="s">
        <v>191</v>
      </c>
      <c r="G2" s="5" t="s">
        <v>192</v>
      </c>
      <c r="H2" s="5" t="s">
        <v>193</v>
      </c>
      <c r="I2" s="5" t="s">
        <v>194</v>
      </c>
      <c r="J2" s="5" t="s">
        <v>195</v>
      </c>
      <c r="K2" s="29" t="s">
        <v>196</v>
      </c>
      <c r="L2" s="28" t="s">
        <v>197</v>
      </c>
      <c r="M2" s="28" t="s">
        <v>198</v>
      </c>
      <c r="N2" s="28" t="s">
        <v>199</v>
      </c>
      <c r="O2" s="28" t="s">
        <v>200</v>
      </c>
      <c r="P2" s="28" t="s">
        <v>201</v>
      </c>
      <c r="Q2" s="29" t="s">
        <v>202</v>
      </c>
      <c r="R2" s="28" t="s">
        <v>203</v>
      </c>
      <c r="S2" s="28" t="s">
        <v>204</v>
      </c>
      <c r="T2" s="28" t="s">
        <v>205</v>
      </c>
      <c r="U2" s="28" t="s">
        <v>206</v>
      </c>
      <c r="V2" s="29" t="s">
        <v>207</v>
      </c>
      <c r="W2" s="29" t="s">
        <v>208</v>
      </c>
    </row>
    <row r="3" spans="1:23">
      <c r="A3" s="7" t="s">
        <v>209</v>
      </c>
      <c r="B3" s="7" t="s">
        <v>210</v>
      </c>
      <c r="C3" s="7" t="s">
        <v>211</v>
      </c>
      <c r="D3" s="7" t="s">
        <v>212</v>
      </c>
      <c r="E3" s="7" t="s">
        <v>210</v>
      </c>
      <c r="F3" s="7" t="s">
        <v>213</v>
      </c>
      <c r="G3" s="7" t="s">
        <v>214</v>
      </c>
      <c r="H3" s="7"/>
      <c r="I3" s="7" t="s">
        <v>215</v>
      </c>
      <c r="J3" s="7" t="s">
        <v>216</v>
      </c>
      <c r="K3" s="6">
        <v>1.395</v>
      </c>
      <c r="L3" s="6">
        <v>0</v>
      </c>
      <c r="M3" s="6">
        <v>0.5</v>
      </c>
      <c r="N3" s="6">
        <f>K3-M3-P3</f>
        <v>0.11499999999999999</v>
      </c>
      <c r="O3" s="6">
        <v>0</v>
      </c>
      <c r="P3" s="6">
        <v>0.78</v>
      </c>
      <c r="Q3" s="1">
        <f>(L3*5+M3*80+N3*5+O3*100+P3*2)</f>
        <v>42.135000000000005</v>
      </c>
      <c r="R3" s="47">
        <v>1</v>
      </c>
      <c r="S3" s="1">
        <v>0.9</v>
      </c>
      <c r="T3" s="1">
        <f>Q3*R3*S3</f>
        <v>37.921500000000009</v>
      </c>
      <c r="U3" s="30">
        <f t="shared" ref="U3:U19" si="0">T3/T$28</f>
        <v>8.9505538986487582E-2</v>
      </c>
      <c r="V3" s="8">
        <f t="shared" ref="V3:V19" si="1">U3*V$20</f>
        <v>15810.715231986822</v>
      </c>
      <c r="W3" s="8">
        <f t="shared" ref="W3:W18" si="2">IF(V3&lt;10,10,V3)</f>
        <v>15810.715231986822</v>
      </c>
    </row>
    <row r="4" spans="1:23">
      <c r="A4" s="7" t="s">
        <v>217</v>
      </c>
      <c r="B4" s="7" t="s">
        <v>218</v>
      </c>
      <c r="C4" s="7" t="s">
        <v>211</v>
      </c>
      <c r="D4" s="7" t="s">
        <v>212</v>
      </c>
      <c r="E4" s="7" t="s">
        <v>210</v>
      </c>
      <c r="F4" s="7" t="s">
        <v>213</v>
      </c>
      <c r="G4" s="7" t="s">
        <v>219</v>
      </c>
      <c r="H4" s="7" t="s">
        <v>220</v>
      </c>
      <c r="I4" s="7" t="s">
        <v>221</v>
      </c>
      <c r="J4" s="7" t="s">
        <v>222</v>
      </c>
      <c r="K4" s="6">
        <v>1.153</v>
      </c>
      <c r="L4" s="6">
        <v>0</v>
      </c>
      <c r="M4" s="6">
        <v>0</v>
      </c>
      <c r="N4" s="6">
        <v>0</v>
      </c>
      <c r="O4" s="6">
        <v>0</v>
      </c>
      <c r="P4" s="6">
        <v>1.153</v>
      </c>
      <c r="Q4" s="1">
        <f t="shared" ref="Q4:Q19" si="3">(L4*5+M4*80+N4*5+O4*100+P4*2)</f>
        <v>2.306</v>
      </c>
      <c r="R4" s="47">
        <v>1</v>
      </c>
      <c r="S4" s="1">
        <v>0.9</v>
      </c>
      <c r="T4" s="1">
        <f t="shared" ref="T4:T19" si="4">Q4*R4*S4</f>
        <v>2.0754000000000001</v>
      </c>
      <c r="U4" s="30">
        <f t="shared" si="0"/>
        <v>4.8985350160873457E-3</v>
      </c>
      <c r="V4" s="8">
        <f t="shared" si="1"/>
        <v>865.30222677018162</v>
      </c>
      <c r="W4" s="8">
        <f t="shared" si="2"/>
        <v>865.30222677018162</v>
      </c>
    </row>
    <row r="5" spans="1:23">
      <c r="A5" s="7" t="s">
        <v>223</v>
      </c>
      <c r="B5" s="7" t="s">
        <v>224</v>
      </c>
      <c r="C5" s="7" t="s">
        <v>225</v>
      </c>
      <c r="D5" s="7"/>
      <c r="E5" s="7" t="s">
        <v>224</v>
      </c>
      <c r="F5" s="7" t="s">
        <v>226</v>
      </c>
      <c r="G5" s="7" t="s">
        <v>227</v>
      </c>
      <c r="H5" s="7"/>
      <c r="I5" s="7" t="s">
        <v>228</v>
      </c>
      <c r="J5" s="7" t="s">
        <v>229</v>
      </c>
      <c r="K5" s="6">
        <v>0.72399999999999998</v>
      </c>
      <c r="L5" s="6">
        <v>0</v>
      </c>
      <c r="M5" s="6">
        <v>0</v>
      </c>
      <c r="N5" s="6">
        <v>0</v>
      </c>
      <c r="O5" s="6">
        <v>0</v>
      </c>
      <c r="P5" s="6">
        <v>0.72399999999999998</v>
      </c>
      <c r="Q5" s="1">
        <f t="shared" si="3"/>
        <v>1.448</v>
      </c>
      <c r="R5" s="47">
        <v>1</v>
      </c>
      <c r="S5" s="1">
        <v>0.9</v>
      </c>
      <c r="T5" s="1">
        <f t="shared" si="4"/>
        <v>1.3031999999999999</v>
      </c>
      <c r="U5" s="30">
        <f t="shared" si="0"/>
        <v>3.0759231150453061E-3</v>
      </c>
      <c r="V5" s="8">
        <f t="shared" si="1"/>
        <v>543.3467581800619</v>
      </c>
      <c r="W5" s="8">
        <f t="shared" si="2"/>
        <v>543.3467581800619</v>
      </c>
    </row>
    <row r="6" spans="1:23">
      <c r="A6" s="7" t="s">
        <v>230</v>
      </c>
      <c r="B6" s="7" t="s">
        <v>231</v>
      </c>
      <c r="C6" s="7" t="s">
        <v>232</v>
      </c>
      <c r="D6" s="7" t="s">
        <v>233</v>
      </c>
      <c r="E6" s="7" t="s">
        <v>231</v>
      </c>
      <c r="F6" s="7" t="s">
        <v>234</v>
      </c>
      <c r="G6" s="7" t="s">
        <v>235</v>
      </c>
      <c r="H6" s="7"/>
      <c r="I6" s="7" t="s">
        <v>236</v>
      </c>
      <c r="J6" s="7" t="s">
        <v>237</v>
      </c>
      <c r="K6" s="6">
        <v>4.6920000000000002</v>
      </c>
      <c r="L6" s="6">
        <v>0</v>
      </c>
      <c r="M6" s="6">
        <v>0</v>
      </c>
      <c r="N6" s="6">
        <v>0</v>
      </c>
      <c r="O6" s="6">
        <v>0</v>
      </c>
      <c r="P6" s="6">
        <v>4.6920000000000002</v>
      </c>
      <c r="Q6" s="1">
        <f t="shared" si="3"/>
        <v>9.3840000000000003</v>
      </c>
      <c r="R6" s="47">
        <v>1</v>
      </c>
      <c r="S6" s="1">
        <v>0.9</v>
      </c>
      <c r="T6" s="1">
        <f t="shared" si="4"/>
        <v>8.4456000000000007</v>
      </c>
      <c r="U6" s="30">
        <f t="shared" si="0"/>
        <v>1.993402107153671E-2</v>
      </c>
      <c r="V6" s="8">
        <f t="shared" si="1"/>
        <v>3521.247222901728</v>
      </c>
      <c r="W6" s="8">
        <f t="shared" si="2"/>
        <v>3521.247222901728</v>
      </c>
    </row>
    <row r="7" spans="1:23">
      <c r="A7" s="14" t="s">
        <v>238</v>
      </c>
      <c r="B7" s="7" t="s">
        <v>239</v>
      </c>
      <c r="C7" s="7" t="s">
        <v>240</v>
      </c>
      <c r="D7" s="7"/>
      <c r="E7" s="7" t="s">
        <v>241</v>
      </c>
      <c r="F7" s="7" t="s">
        <v>242</v>
      </c>
      <c r="G7" s="7" t="s">
        <v>243</v>
      </c>
      <c r="H7" s="7"/>
      <c r="I7" s="7" t="s">
        <v>244</v>
      </c>
      <c r="J7" s="7" t="s">
        <v>245</v>
      </c>
      <c r="K7" s="6">
        <v>2.8170000000000002</v>
      </c>
      <c r="L7" s="6">
        <v>2.8170000000000002</v>
      </c>
      <c r="M7" s="6">
        <v>0</v>
      </c>
      <c r="N7" s="6">
        <v>0</v>
      </c>
      <c r="O7" s="6">
        <v>0</v>
      </c>
      <c r="P7" s="6">
        <v>0</v>
      </c>
      <c r="Q7" s="1">
        <f t="shared" si="3"/>
        <v>14.085000000000001</v>
      </c>
      <c r="R7" s="47">
        <v>0.25</v>
      </c>
      <c r="S7" s="1">
        <v>1</v>
      </c>
      <c r="T7" s="1">
        <f t="shared" si="4"/>
        <v>3.5212500000000002</v>
      </c>
      <c r="U7" s="30">
        <f t="shared" si="0"/>
        <v>8.311152753877598E-3</v>
      </c>
      <c r="V7" s="8">
        <f t="shared" si="1"/>
        <v>1468.1244415604231</v>
      </c>
      <c r="W7" s="8">
        <f t="shared" si="2"/>
        <v>1468.1244415604231</v>
      </c>
    </row>
    <row r="8" spans="1:23">
      <c r="A8" s="14" t="s">
        <v>246</v>
      </c>
      <c r="B8" s="7" t="s">
        <v>247</v>
      </c>
      <c r="C8" s="7" t="s">
        <v>248</v>
      </c>
      <c r="D8" s="7"/>
      <c r="E8" s="7" t="s">
        <v>247</v>
      </c>
      <c r="F8" s="7" t="s">
        <v>213</v>
      </c>
      <c r="G8" s="7" t="s">
        <v>248</v>
      </c>
      <c r="H8" s="7"/>
      <c r="I8" s="7" t="s">
        <v>249</v>
      </c>
      <c r="J8" s="7" t="s">
        <v>250</v>
      </c>
      <c r="K8" s="6">
        <v>9.8190000000000008</v>
      </c>
      <c r="L8" s="6">
        <f>K8-0.25</f>
        <v>9.5690000000000008</v>
      </c>
      <c r="M8" s="6">
        <v>0.25</v>
      </c>
      <c r="N8" s="6">
        <v>0</v>
      </c>
      <c r="O8" s="6">
        <v>0</v>
      </c>
      <c r="P8" s="6">
        <v>0</v>
      </c>
      <c r="Q8" s="1">
        <f t="shared" si="3"/>
        <v>67.844999999999999</v>
      </c>
      <c r="R8" s="47">
        <v>0.5</v>
      </c>
      <c r="S8" s="1">
        <v>1</v>
      </c>
      <c r="T8" s="1">
        <f t="shared" si="4"/>
        <v>33.922499999999999</v>
      </c>
      <c r="U8" s="30">
        <f t="shared" si="0"/>
        <v>8.0066760182722838E-2</v>
      </c>
      <c r="V8" s="8">
        <f t="shared" si="1"/>
        <v>14143.401169707759</v>
      </c>
      <c r="W8" s="8">
        <f t="shared" si="2"/>
        <v>14143.401169707759</v>
      </c>
    </row>
    <row r="9" spans="1:23">
      <c r="A9" s="14" t="s">
        <v>251</v>
      </c>
      <c r="B9" s="7" t="s">
        <v>252</v>
      </c>
      <c r="C9" s="7" t="s">
        <v>253</v>
      </c>
      <c r="D9" s="7"/>
      <c r="E9" s="7" t="s">
        <v>252</v>
      </c>
      <c r="F9" s="7" t="s">
        <v>213</v>
      </c>
      <c r="G9" s="7" t="s">
        <v>254</v>
      </c>
      <c r="H9" s="7"/>
      <c r="I9" s="7" t="s">
        <v>255</v>
      </c>
      <c r="J9" s="7" t="s">
        <v>237</v>
      </c>
      <c r="K9" s="6">
        <v>9.1920000000000002</v>
      </c>
      <c r="L9" s="6">
        <f>K9-M9-N9-P9</f>
        <v>4.4420000000000002</v>
      </c>
      <c r="M9" s="6">
        <v>0.5</v>
      </c>
      <c r="N9" s="6">
        <v>1.25</v>
      </c>
      <c r="O9" s="6">
        <v>0</v>
      </c>
      <c r="P9" s="6">
        <v>3</v>
      </c>
      <c r="Q9" s="1">
        <f t="shared" si="3"/>
        <v>74.460000000000008</v>
      </c>
      <c r="R9" s="47">
        <v>0.5</v>
      </c>
      <c r="S9" s="1">
        <v>0.9</v>
      </c>
      <c r="T9" s="1">
        <f t="shared" si="4"/>
        <v>33.507000000000005</v>
      </c>
      <c r="U9" s="30">
        <f t="shared" si="0"/>
        <v>7.9086061859901094E-2</v>
      </c>
      <c r="V9" s="8">
        <f t="shared" si="1"/>
        <v>13970.165612599249</v>
      </c>
      <c r="W9" s="8">
        <f t="shared" si="2"/>
        <v>13970.165612599249</v>
      </c>
    </row>
    <row r="10" spans="1:23">
      <c r="A10" s="7" t="s">
        <v>256</v>
      </c>
      <c r="B10" s="7" t="s">
        <v>257</v>
      </c>
      <c r="C10" s="7" t="s">
        <v>258</v>
      </c>
      <c r="D10" s="7"/>
      <c r="E10" s="7" t="s">
        <v>257</v>
      </c>
      <c r="F10" s="7" t="s">
        <v>213</v>
      </c>
      <c r="G10" s="7" t="s">
        <v>214</v>
      </c>
      <c r="H10" s="7"/>
      <c r="I10" s="7" t="s">
        <v>215</v>
      </c>
      <c r="J10" s="7" t="s">
        <v>216</v>
      </c>
      <c r="K10" s="6">
        <v>2.577</v>
      </c>
      <c r="L10" s="6">
        <v>0</v>
      </c>
      <c r="M10" s="6">
        <v>0</v>
      </c>
      <c r="N10" s="6">
        <v>0</v>
      </c>
      <c r="O10" s="6">
        <v>0</v>
      </c>
      <c r="P10" s="6">
        <v>2.577</v>
      </c>
      <c r="Q10" s="1">
        <f t="shared" si="3"/>
        <v>5.1539999999999999</v>
      </c>
      <c r="R10" s="47">
        <v>0.9</v>
      </c>
      <c r="S10" s="1">
        <v>0.9</v>
      </c>
      <c r="T10" s="1">
        <f t="shared" si="4"/>
        <v>4.1747400000000008</v>
      </c>
      <c r="U10" s="30">
        <f t="shared" si="0"/>
        <v>9.853575249619587E-3</v>
      </c>
      <c r="V10" s="8">
        <f t="shared" si="1"/>
        <v>1740.5858235456051</v>
      </c>
      <c r="W10" s="8">
        <f t="shared" si="2"/>
        <v>1740.5858235456051</v>
      </c>
    </row>
    <row r="11" spans="1:23">
      <c r="A11" s="7" t="s">
        <v>259</v>
      </c>
      <c r="B11" s="7" t="s">
        <v>260</v>
      </c>
      <c r="C11" s="7" t="s">
        <v>261</v>
      </c>
      <c r="D11" s="7" t="s">
        <v>262</v>
      </c>
      <c r="E11" s="7" t="s">
        <v>260</v>
      </c>
      <c r="F11" s="7" t="s">
        <v>213</v>
      </c>
      <c r="G11" s="7" t="s">
        <v>263</v>
      </c>
      <c r="H11" s="7"/>
      <c r="I11" s="7" t="s">
        <v>264</v>
      </c>
      <c r="J11" s="7" t="s">
        <v>265</v>
      </c>
      <c r="K11" s="6">
        <v>3.2130000000000001</v>
      </c>
      <c r="L11" s="6">
        <v>0</v>
      </c>
      <c r="M11" s="6">
        <v>0.5</v>
      </c>
      <c r="N11" s="6">
        <f>K11-0.5</f>
        <v>2.7130000000000001</v>
      </c>
      <c r="O11" s="6">
        <v>0</v>
      </c>
      <c r="P11" s="6">
        <v>0</v>
      </c>
      <c r="Q11" s="1">
        <f t="shared" si="3"/>
        <v>53.564999999999998</v>
      </c>
      <c r="R11" s="47">
        <v>1</v>
      </c>
      <c r="S11" s="1">
        <v>0.9</v>
      </c>
      <c r="T11" s="1">
        <f t="shared" si="4"/>
        <v>48.208500000000001</v>
      </c>
      <c r="U11" s="30">
        <f t="shared" si="0"/>
        <v>0.11378578843743221</v>
      </c>
      <c r="V11" s="8">
        <f t="shared" si="1"/>
        <v>20099.7024184496</v>
      </c>
      <c r="W11" s="8">
        <f t="shared" si="2"/>
        <v>20099.7024184496</v>
      </c>
    </row>
    <row r="12" spans="1:23">
      <c r="A12" s="7" t="s">
        <v>266</v>
      </c>
      <c r="B12" s="7" t="s">
        <v>267</v>
      </c>
      <c r="C12" s="7" t="s">
        <v>268</v>
      </c>
      <c r="D12" s="7" t="s">
        <v>269</v>
      </c>
      <c r="E12" s="7" t="s">
        <v>267</v>
      </c>
      <c r="F12" s="7" t="s">
        <v>213</v>
      </c>
      <c r="G12" s="7" t="s">
        <v>214</v>
      </c>
      <c r="H12" s="7"/>
      <c r="I12" s="7" t="s">
        <v>215</v>
      </c>
      <c r="J12" s="7" t="s">
        <v>216</v>
      </c>
      <c r="K12" s="6">
        <v>2.9</v>
      </c>
      <c r="L12" s="6">
        <v>0</v>
      </c>
      <c r="M12" s="6">
        <v>0</v>
      </c>
      <c r="N12" s="6">
        <v>0</v>
      </c>
      <c r="O12" s="6">
        <v>0</v>
      </c>
      <c r="P12" s="6">
        <v>2.9</v>
      </c>
      <c r="Q12" s="1">
        <f t="shared" si="3"/>
        <v>5.8</v>
      </c>
      <c r="R12" s="47">
        <v>0.9</v>
      </c>
      <c r="S12" s="1">
        <v>0.9</v>
      </c>
      <c r="T12" s="1">
        <f t="shared" si="4"/>
        <v>4.6979999999999995</v>
      </c>
      <c r="U12" s="30">
        <f t="shared" si="0"/>
        <v>1.1088617859486533E-2</v>
      </c>
      <c r="V12" s="8">
        <f t="shared" si="1"/>
        <v>1958.7500536601681</v>
      </c>
      <c r="W12" s="8">
        <f t="shared" si="2"/>
        <v>1958.7500536601681</v>
      </c>
    </row>
    <row r="13" spans="1:23">
      <c r="A13" s="7" t="s">
        <v>270</v>
      </c>
      <c r="B13" s="7" t="s">
        <v>271</v>
      </c>
      <c r="C13" s="7" t="s">
        <v>272</v>
      </c>
      <c r="D13" s="7"/>
      <c r="E13" s="7" t="s">
        <v>271</v>
      </c>
      <c r="F13" s="7" t="s">
        <v>213</v>
      </c>
      <c r="G13" s="7" t="s">
        <v>273</v>
      </c>
      <c r="H13" s="7"/>
      <c r="I13" s="7" t="s">
        <v>274</v>
      </c>
      <c r="J13" s="7" t="s">
        <v>275</v>
      </c>
      <c r="K13" s="6">
        <v>1.153</v>
      </c>
      <c r="L13" s="6">
        <v>0</v>
      </c>
      <c r="M13" s="6">
        <v>0.5</v>
      </c>
      <c r="N13" s="6">
        <f>K13-0.5</f>
        <v>0.65300000000000002</v>
      </c>
      <c r="O13" s="6">
        <v>0</v>
      </c>
      <c r="P13" s="6">
        <v>0</v>
      </c>
      <c r="Q13" s="1">
        <f t="shared" si="3"/>
        <v>43.265000000000001</v>
      </c>
      <c r="R13" s="47">
        <v>1</v>
      </c>
      <c r="S13" s="1">
        <v>1</v>
      </c>
      <c r="T13" s="1">
        <f t="shared" si="4"/>
        <v>43.265000000000001</v>
      </c>
      <c r="U13" s="30">
        <f t="shared" si="0"/>
        <v>0.10211772066638673</v>
      </c>
      <c r="V13" s="8">
        <f t="shared" si="1"/>
        <v>18038.595374969602</v>
      </c>
      <c r="W13" s="8">
        <f t="shared" si="2"/>
        <v>18038.595374969602</v>
      </c>
    </row>
    <row r="14" spans="1:23">
      <c r="A14" s="7" t="s">
        <v>276</v>
      </c>
      <c r="B14" s="7" t="s">
        <v>277</v>
      </c>
      <c r="C14" s="7" t="s">
        <v>278</v>
      </c>
      <c r="D14" s="7" t="s">
        <v>279</v>
      </c>
      <c r="E14" s="7"/>
      <c r="F14" s="7"/>
      <c r="G14" s="7" t="s">
        <v>280</v>
      </c>
      <c r="H14" s="7" t="s">
        <v>281</v>
      </c>
      <c r="I14" s="7" t="s">
        <v>282</v>
      </c>
      <c r="J14" s="7" t="s">
        <v>222</v>
      </c>
      <c r="K14" s="6">
        <v>3.36</v>
      </c>
      <c r="L14" s="6">
        <v>0</v>
      </c>
      <c r="M14" s="6">
        <v>0.5</v>
      </c>
      <c r="N14" s="6">
        <f>K14-0.5</f>
        <v>2.86</v>
      </c>
      <c r="O14" s="6">
        <v>0</v>
      </c>
      <c r="P14" s="6">
        <v>0</v>
      </c>
      <c r="Q14" s="1">
        <f t="shared" si="3"/>
        <v>54.3</v>
      </c>
      <c r="R14" s="47">
        <v>1</v>
      </c>
      <c r="S14" s="1">
        <v>1</v>
      </c>
      <c r="T14" s="1">
        <f t="shared" si="4"/>
        <v>54.3</v>
      </c>
      <c r="U14" s="30">
        <f t="shared" si="0"/>
        <v>0.12816346312688776</v>
      </c>
      <c r="V14" s="8">
        <f t="shared" si="1"/>
        <v>22639.44825750258</v>
      </c>
      <c r="W14" s="8">
        <f t="shared" si="2"/>
        <v>22639.44825750258</v>
      </c>
    </row>
    <row r="15" spans="1:23">
      <c r="A15" s="7" t="s">
        <v>283</v>
      </c>
      <c r="B15" s="7" t="s">
        <v>284</v>
      </c>
      <c r="C15" s="7" t="s">
        <v>285</v>
      </c>
      <c r="D15" s="7" t="s">
        <v>286</v>
      </c>
      <c r="E15" s="7"/>
      <c r="F15" s="7"/>
      <c r="G15" s="7" t="s">
        <v>287</v>
      </c>
      <c r="H15" s="7" t="s">
        <v>288</v>
      </c>
      <c r="I15" s="7" t="s">
        <v>289</v>
      </c>
      <c r="J15" s="7" t="s">
        <v>275</v>
      </c>
      <c r="K15" s="6">
        <v>1.0629999999999999</v>
      </c>
      <c r="L15" s="6">
        <v>0</v>
      </c>
      <c r="M15" s="6">
        <v>0.5</v>
      </c>
      <c r="N15" s="6">
        <f>K15-0.5</f>
        <v>0.56299999999999994</v>
      </c>
      <c r="O15" s="6">
        <v>0</v>
      </c>
      <c r="P15" s="6">
        <v>0</v>
      </c>
      <c r="Q15" s="1">
        <f t="shared" si="3"/>
        <v>42.814999999999998</v>
      </c>
      <c r="R15" s="47">
        <v>1</v>
      </c>
      <c r="S15" s="1">
        <v>1</v>
      </c>
      <c r="T15" s="1">
        <f t="shared" si="4"/>
        <v>42.814999999999998</v>
      </c>
      <c r="U15" s="30">
        <f t="shared" si="0"/>
        <v>0.10105559251892633</v>
      </c>
      <c r="V15" s="8">
        <f t="shared" si="1"/>
        <v>17850.975638028969</v>
      </c>
      <c r="W15" s="8">
        <f t="shared" si="2"/>
        <v>17850.975638028969</v>
      </c>
    </row>
    <row r="16" spans="1:23">
      <c r="A16" s="7" t="s">
        <v>290</v>
      </c>
      <c r="B16" s="7" t="s">
        <v>291</v>
      </c>
      <c r="C16" s="7" t="s">
        <v>292</v>
      </c>
      <c r="D16" s="7" t="s">
        <v>293</v>
      </c>
      <c r="E16" s="7" t="s">
        <v>291</v>
      </c>
      <c r="F16" s="7" t="s">
        <v>213</v>
      </c>
      <c r="G16" s="7" t="s">
        <v>243</v>
      </c>
      <c r="H16" s="7"/>
      <c r="I16" s="7" t="s">
        <v>244</v>
      </c>
      <c r="J16" s="7" t="s">
        <v>245</v>
      </c>
      <c r="K16" s="6">
        <v>3.0739999999999998</v>
      </c>
      <c r="L16" s="6">
        <v>0</v>
      </c>
      <c r="M16" s="6">
        <v>0.5</v>
      </c>
      <c r="N16" s="6">
        <f>K16-0.5</f>
        <v>2.5739999999999998</v>
      </c>
      <c r="O16" s="6">
        <v>0</v>
      </c>
      <c r="P16" s="6">
        <v>0</v>
      </c>
      <c r="Q16" s="1">
        <f t="shared" si="3"/>
        <v>52.87</v>
      </c>
      <c r="R16" s="47">
        <v>1</v>
      </c>
      <c r="S16" s="1">
        <v>1</v>
      </c>
      <c r="T16" s="1">
        <f t="shared" si="4"/>
        <v>52.87</v>
      </c>
      <c r="U16" s="30">
        <f t="shared" si="0"/>
        <v>0.12478825590273585</v>
      </c>
      <c r="V16" s="8">
        <f t="shared" si="1"/>
        <v>22043.234426780138</v>
      </c>
      <c r="W16" s="8">
        <f t="shared" si="2"/>
        <v>22043.234426780138</v>
      </c>
    </row>
    <row r="17" spans="1:23">
      <c r="A17" s="7" t="s">
        <v>294</v>
      </c>
      <c r="B17" s="7" t="s">
        <v>295</v>
      </c>
      <c r="C17" s="7" t="s">
        <v>296</v>
      </c>
      <c r="D17" s="7" t="s">
        <v>297</v>
      </c>
      <c r="E17" s="7" t="s">
        <v>295</v>
      </c>
      <c r="F17" s="7" t="s">
        <v>213</v>
      </c>
      <c r="G17" s="7" t="s">
        <v>214</v>
      </c>
      <c r="H17" s="7"/>
      <c r="I17" s="7" t="s">
        <v>215</v>
      </c>
      <c r="J17" s="7" t="s">
        <v>216</v>
      </c>
      <c r="K17" s="6">
        <v>0.87</v>
      </c>
      <c r="L17" s="6">
        <v>0</v>
      </c>
      <c r="M17" s="6">
        <v>0.5</v>
      </c>
      <c r="N17" s="6">
        <v>0.37</v>
      </c>
      <c r="O17" s="6">
        <v>0</v>
      </c>
      <c r="P17" s="6">
        <v>0</v>
      </c>
      <c r="Q17" s="1">
        <f t="shared" si="3"/>
        <v>41.85</v>
      </c>
      <c r="R17" s="47">
        <v>1</v>
      </c>
      <c r="S17" s="1">
        <v>1</v>
      </c>
      <c r="T17" s="1">
        <f t="shared" si="4"/>
        <v>41.85</v>
      </c>
      <c r="U17" s="30">
        <f t="shared" si="0"/>
        <v>9.8777917713816818E-2</v>
      </c>
      <c r="V17" s="8">
        <f t="shared" si="1"/>
        <v>17448.635535478512</v>
      </c>
      <c r="W17" s="8">
        <f t="shared" si="2"/>
        <v>17448.635535478512</v>
      </c>
    </row>
    <row r="18" spans="1:23">
      <c r="A18" s="7" t="s">
        <v>298</v>
      </c>
      <c r="B18" s="7" t="s">
        <v>299</v>
      </c>
      <c r="C18" s="7" t="s">
        <v>300</v>
      </c>
      <c r="D18" s="7" t="s">
        <v>301</v>
      </c>
      <c r="E18" s="7" t="s">
        <v>299</v>
      </c>
      <c r="F18" s="7" t="s">
        <v>302</v>
      </c>
      <c r="G18" s="7" t="s">
        <v>214</v>
      </c>
      <c r="H18" s="7"/>
      <c r="I18" s="7" t="s">
        <v>215</v>
      </c>
      <c r="J18" s="7" t="s">
        <v>216</v>
      </c>
      <c r="K18" s="6">
        <v>0.15</v>
      </c>
      <c r="L18" s="6">
        <v>0</v>
      </c>
      <c r="M18" s="6">
        <v>0.15</v>
      </c>
      <c r="N18" s="6">
        <v>0</v>
      </c>
      <c r="O18" s="6">
        <v>0</v>
      </c>
      <c r="P18" s="6">
        <v>0</v>
      </c>
      <c r="Q18" s="1">
        <f t="shared" si="3"/>
        <v>12</v>
      </c>
      <c r="R18" s="47">
        <v>0.9</v>
      </c>
      <c r="S18" s="1">
        <v>1</v>
      </c>
      <c r="T18" s="1">
        <f t="shared" si="4"/>
        <v>10.8</v>
      </c>
      <c r="U18" s="30">
        <f t="shared" si="0"/>
        <v>2.5491075539049501E-2</v>
      </c>
      <c r="V18" s="8">
        <f t="shared" si="1"/>
        <v>4502.8736865750998</v>
      </c>
      <c r="W18" s="8">
        <f t="shared" si="2"/>
        <v>4502.8736865750998</v>
      </c>
    </row>
    <row r="19" spans="1:23">
      <c r="A19" s="7" t="s">
        <v>303</v>
      </c>
      <c r="B19" s="7" t="s">
        <v>304</v>
      </c>
      <c r="C19" s="7" t="s">
        <v>305</v>
      </c>
      <c r="D19" s="7" t="s">
        <v>306</v>
      </c>
      <c r="E19" s="7" t="s">
        <v>304</v>
      </c>
      <c r="F19" s="7" t="s">
        <v>307</v>
      </c>
      <c r="G19" s="7" t="s">
        <v>308</v>
      </c>
      <c r="H19" s="7"/>
      <c r="I19" s="7" t="s">
        <v>309</v>
      </c>
      <c r="J19" s="7" t="s">
        <v>250</v>
      </c>
      <c r="K19" s="6">
        <v>3.6999999999999998E-2</v>
      </c>
      <c r="L19" s="6">
        <v>0</v>
      </c>
      <c r="M19" s="6">
        <v>0</v>
      </c>
      <c r="N19" s="6">
        <v>0</v>
      </c>
      <c r="O19" s="6">
        <v>0</v>
      </c>
      <c r="P19" s="6">
        <v>3.6999999999999998E-2</v>
      </c>
      <c r="Q19" s="1">
        <f t="shared" si="3"/>
        <v>7.3999999999999996E-2</v>
      </c>
      <c r="R19" s="47">
        <v>0</v>
      </c>
      <c r="S19" s="1">
        <v>1</v>
      </c>
      <c r="T19" s="1">
        <f t="shared" si="4"/>
        <v>0</v>
      </c>
      <c r="U19" s="30">
        <f t="shared" si="0"/>
        <v>0</v>
      </c>
      <c r="V19" s="8">
        <f t="shared" si="1"/>
        <v>0</v>
      </c>
      <c r="W19" s="8">
        <v>0</v>
      </c>
    </row>
    <row r="20" spans="1:23">
      <c r="U20" s="49" t="s">
        <v>171</v>
      </c>
      <c r="V20" s="8">
        <f>Overview!D7</f>
        <v>176645.10387869654</v>
      </c>
      <c r="W20" s="31">
        <f>SUM(W3:W19)</f>
        <v>176645.10387869651</v>
      </c>
    </row>
    <row r="21" spans="1:23">
      <c r="L21" s="45" t="s">
        <v>310</v>
      </c>
      <c r="U21" s="3"/>
    </row>
    <row r="22" spans="1:23">
      <c r="L22" t="s">
        <v>311</v>
      </c>
    </row>
    <row r="23" spans="1:23">
      <c r="L23" t="s">
        <v>312</v>
      </c>
    </row>
    <row r="24" spans="1:23">
      <c r="L24" t="s">
        <v>313</v>
      </c>
    </row>
    <row r="25" spans="1:23">
      <c r="L25" t="s">
        <v>314</v>
      </c>
    </row>
    <row r="28" spans="1:23">
      <c r="S28" t="s">
        <v>315</v>
      </c>
      <c r="T28" s="2">
        <f>SUM(T3:T19)</f>
        <v>423.6776900000001</v>
      </c>
    </row>
    <row r="31" spans="1:23">
      <c r="L31">
        <f>SUM(L3:L18)</f>
        <v>16.828000000000003</v>
      </c>
      <c r="M31">
        <f t="shared" ref="M31:N31" si="5">SUM(M3:M18)</f>
        <v>4.4000000000000004</v>
      </c>
      <c r="N31">
        <f t="shared" si="5"/>
        <v>11.097999999999999</v>
      </c>
    </row>
  </sheetData>
  <sortState xmlns:xlrd2="http://schemas.microsoft.com/office/spreadsheetml/2017/richdata2" ref="A3:W19">
    <sortCondition ref="A3:A19"/>
  </sortState>
  <pageMargins left="0.7" right="0.7" top="0.75" bottom="0.75" header="0.3" footer="0.3"/>
  <pageSetup paperSize="3" scale="9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2F9F-F3EF-4786-B009-58DEE279D28E}">
  <sheetPr>
    <pageSetUpPr fitToPage="1"/>
  </sheetPr>
  <dimension ref="A1:Z71"/>
  <sheetViews>
    <sheetView workbookViewId="0">
      <pane xSplit="1" topLeftCell="B1" activePane="topRight" state="frozen"/>
      <selection pane="topRight" activeCell="C16" sqref="C16"/>
    </sheetView>
  </sheetViews>
  <sheetFormatPr defaultRowHeight="14.45"/>
  <cols>
    <col min="1" max="1" width="10.7109375" bestFit="1" customWidth="1"/>
    <col min="2" max="2" width="18.42578125" bestFit="1" customWidth="1"/>
    <col min="3" max="3" width="25.140625" bestFit="1" customWidth="1"/>
    <col min="4" max="4" width="26.85546875" bestFit="1" customWidth="1"/>
    <col min="5" max="5" width="19.28515625" hidden="1" customWidth="1"/>
    <col min="6" max="6" width="23.28515625" hidden="1" customWidth="1"/>
    <col min="7" max="7" width="15.85546875" hidden="1" customWidth="1"/>
    <col min="8" max="9" width="14.5703125" hidden="1" customWidth="1"/>
    <col min="10" max="10" width="15.140625" hidden="1" customWidth="1"/>
    <col min="11" max="11" width="11.85546875" bestFit="1" customWidth="1"/>
    <col min="19" max="19" width="11.28515625" bestFit="1" customWidth="1"/>
    <col min="21" max="21" width="10.28515625" customWidth="1"/>
    <col min="22" max="22" width="12" customWidth="1"/>
    <col min="23" max="23" width="14.85546875" bestFit="1" customWidth="1"/>
    <col min="24" max="24" width="12.28515625" bestFit="1" customWidth="1"/>
    <col min="26" max="26" width="51.140625" bestFit="1" customWidth="1"/>
  </cols>
  <sheetData>
    <row r="1" spans="1:26">
      <c r="A1" s="44" t="s">
        <v>6</v>
      </c>
    </row>
    <row r="2" spans="1:26" ht="43.5">
      <c r="A2" s="5" t="s">
        <v>186</v>
      </c>
      <c r="B2" s="5" t="s">
        <v>187</v>
      </c>
      <c r="C2" s="5" t="s">
        <v>188</v>
      </c>
      <c r="D2" s="5" t="s">
        <v>189</v>
      </c>
      <c r="E2" s="5" t="s">
        <v>190</v>
      </c>
      <c r="F2" s="5" t="s">
        <v>191</v>
      </c>
      <c r="G2" s="5" t="s">
        <v>192</v>
      </c>
      <c r="H2" s="5" t="s">
        <v>193</v>
      </c>
      <c r="I2" s="5" t="s">
        <v>194</v>
      </c>
      <c r="J2" s="5" t="s">
        <v>195</v>
      </c>
      <c r="K2" s="29" t="s">
        <v>316</v>
      </c>
      <c r="L2" s="28" t="s">
        <v>197</v>
      </c>
      <c r="M2" s="28" t="s">
        <v>198</v>
      </c>
      <c r="N2" s="28" t="s">
        <v>199</v>
      </c>
      <c r="O2" s="28" t="s">
        <v>200</v>
      </c>
      <c r="P2" s="28" t="s">
        <v>201</v>
      </c>
      <c r="Q2" s="29" t="s">
        <v>202</v>
      </c>
      <c r="R2" s="28" t="s">
        <v>203</v>
      </c>
      <c r="S2" s="28" t="s">
        <v>204</v>
      </c>
      <c r="T2" s="28" t="s">
        <v>205</v>
      </c>
      <c r="U2" s="28" t="s">
        <v>206</v>
      </c>
      <c r="V2" s="29" t="s">
        <v>317</v>
      </c>
      <c r="W2" s="29" t="s">
        <v>207</v>
      </c>
      <c r="X2" s="29" t="s">
        <v>208</v>
      </c>
    </row>
    <row r="3" spans="1:26">
      <c r="A3" s="9" t="s">
        <v>318</v>
      </c>
      <c r="B3" s="12" t="s">
        <v>319</v>
      </c>
      <c r="C3" s="12" t="s">
        <v>320</v>
      </c>
      <c r="D3" s="9"/>
      <c r="E3" s="9"/>
      <c r="F3" s="9"/>
      <c r="G3" s="9"/>
      <c r="H3" s="9"/>
      <c r="I3" s="9"/>
      <c r="J3" s="9"/>
      <c r="K3" s="26">
        <f>73854.451729/43560</f>
        <v>1.695464915725436</v>
      </c>
      <c r="L3" s="1">
        <v>0</v>
      </c>
      <c r="M3" s="1">
        <v>0</v>
      </c>
      <c r="N3" s="1">
        <v>0</v>
      </c>
      <c r="O3" s="10">
        <f>K3</f>
        <v>1.695464915725436</v>
      </c>
      <c r="P3" s="1">
        <v>0</v>
      </c>
      <c r="Q3" s="1">
        <f>(L3*5+M3*80+N3*5+O3*100+P3*2)</f>
        <v>169.5464915725436</v>
      </c>
      <c r="R3" s="47">
        <v>0.76</v>
      </c>
      <c r="S3" s="51">
        <v>1</v>
      </c>
      <c r="T3" s="1">
        <f>Q3*R3*S3</f>
        <v>128.85533359513315</v>
      </c>
      <c r="U3" s="30">
        <f t="shared" ref="U3:U34" si="0">T3/T$70</f>
        <v>6.5143088336074781E-2</v>
      </c>
      <c r="V3" s="31">
        <v>0</v>
      </c>
      <c r="W3" s="8">
        <f t="shared" ref="W3:W34" si="1">U3*W$63</f>
        <v>24531.199591620159</v>
      </c>
      <c r="X3" s="31">
        <f>IF(W3&lt;10,10,W3)+V3</f>
        <v>24531.199591620159</v>
      </c>
      <c r="Z3" s="45" t="s">
        <v>310</v>
      </c>
    </row>
    <row r="4" spans="1:26">
      <c r="A4" s="9" t="s">
        <v>318</v>
      </c>
      <c r="B4" s="12" t="s">
        <v>321</v>
      </c>
      <c r="C4" s="12" t="s">
        <v>320</v>
      </c>
      <c r="D4" s="9"/>
      <c r="E4" s="9"/>
      <c r="F4" s="9"/>
      <c r="G4" s="9"/>
      <c r="H4" s="9"/>
      <c r="I4" s="9"/>
      <c r="J4" s="9"/>
      <c r="K4" s="26">
        <v>5.5629999999999997</v>
      </c>
      <c r="L4" s="1">
        <v>0</v>
      </c>
      <c r="M4" s="1">
        <v>0</v>
      </c>
      <c r="N4" s="1">
        <v>0</v>
      </c>
      <c r="O4" s="10">
        <f>K4</f>
        <v>5.5629999999999997</v>
      </c>
      <c r="P4" s="1">
        <v>0</v>
      </c>
      <c r="Q4" s="1">
        <f t="shared" ref="Q4:Q62" si="2">(L4*5+M4*80+N4*5+O4*100+P4*2)</f>
        <v>556.29999999999995</v>
      </c>
      <c r="R4" s="47">
        <v>0.76</v>
      </c>
      <c r="S4" s="51">
        <v>1</v>
      </c>
      <c r="T4" s="1">
        <f t="shared" ref="T4:T62" si="3">Q4*R4*S4</f>
        <v>422.78799999999995</v>
      </c>
      <c r="U4" s="30">
        <f t="shared" si="0"/>
        <v>0.21374137385705103</v>
      </c>
      <c r="V4" s="8">
        <v>0</v>
      </c>
      <c r="W4" s="8">
        <f t="shared" si="1"/>
        <v>80489.464607878923</v>
      </c>
      <c r="X4" s="31">
        <f t="shared" ref="X4:X62" si="4">IF(W4&lt;10,10,W4)+V4</f>
        <v>80489.464607878923</v>
      </c>
      <c r="Z4" t="s">
        <v>311</v>
      </c>
    </row>
    <row r="5" spans="1:26">
      <c r="A5" s="7" t="s">
        <v>322</v>
      </c>
      <c r="B5" s="7" t="s">
        <v>323</v>
      </c>
      <c r="C5" s="7" t="s">
        <v>324</v>
      </c>
      <c r="D5" s="7" t="s">
        <v>325</v>
      </c>
      <c r="E5" s="7" t="s">
        <v>323</v>
      </c>
      <c r="F5" s="7" t="s">
        <v>326</v>
      </c>
      <c r="G5" s="7" t="s">
        <v>214</v>
      </c>
      <c r="H5" s="7"/>
      <c r="I5" s="7" t="s">
        <v>215</v>
      </c>
      <c r="J5" s="7" t="s">
        <v>216</v>
      </c>
      <c r="K5" s="1">
        <v>4.7969999999999997</v>
      </c>
      <c r="L5" s="6">
        <v>2.7</v>
      </c>
      <c r="M5" s="6">
        <v>0.5</v>
      </c>
      <c r="N5" s="6">
        <v>1.597</v>
      </c>
      <c r="O5" s="6">
        <v>0</v>
      </c>
      <c r="P5" s="6">
        <v>0</v>
      </c>
      <c r="Q5" s="1">
        <f t="shared" si="2"/>
        <v>61.484999999999999</v>
      </c>
      <c r="R5" s="47">
        <v>0.76</v>
      </c>
      <c r="S5" s="51">
        <v>0.4</v>
      </c>
      <c r="T5" s="1">
        <f t="shared" si="3"/>
        <v>18.69144</v>
      </c>
      <c r="U5" s="30">
        <f t="shared" si="0"/>
        <v>9.4494973011689971E-3</v>
      </c>
      <c r="V5" s="8">
        <v>0</v>
      </c>
      <c r="W5" s="8">
        <f t="shared" si="1"/>
        <v>3558.435902509751</v>
      </c>
      <c r="X5" s="31">
        <f t="shared" si="4"/>
        <v>3558.435902509751</v>
      </c>
      <c r="Z5" t="s">
        <v>312</v>
      </c>
    </row>
    <row r="6" spans="1:26">
      <c r="A6" s="7" t="s">
        <v>327</v>
      </c>
      <c r="B6" s="7" t="s">
        <v>328</v>
      </c>
      <c r="C6" s="7" t="s">
        <v>329</v>
      </c>
      <c r="D6" s="7" t="s">
        <v>330</v>
      </c>
      <c r="E6" s="7" t="s">
        <v>328</v>
      </c>
      <c r="F6" s="7" t="s">
        <v>213</v>
      </c>
      <c r="G6" s="7" t="s">
        <v>331</v>
      </c>
      <c r="H6" s="7" t="s">
        <v>332</v>
      </c>
      <c r="I6" s="7" t="s">
        <v>333</v>
      </c>
      <c r="J6" s="7" t="s">
        <v>334</v>
      </c>
      <c r="K6" s="10">
        <v>4.5049999999999999</v>
      </c>
      <c r="L6" s="6">
        <v>0</v>
      </c>
      <c r="M6" s="6">
        <v>0.5</v>
      </c>
      <c r="N6" s="6">
        <v>4.0049999999999999</v>
      </c>
      <c r="O6" s="6">
        <v>0</v>
      </c>
      <c r="P6" s="6">
        <v>0</v>
      </c>
      <c r="Q6" s="1">
        <f t="shared" si="2"/>
        <v>60.024999999999999</v>
      </c>
      <c r="R6" s="47">
        <v>0.1</v>
      </c>
      <c r="S6" s="51">
        <v>1</v>
      </c>
      <c r="T6" s="1">
        <f t="shared" si="3"/>
        <v>6.0025000000000004</v>
      </c>
      <c r="U6" s="30">
        <f t="shared" si="0"/>
        <v>3.034576659169487E-3</v>
      </c>
      <c r="V6" s="8">
        <v>0</v>
      </c>
      <c r="W6" s="8">
        <f t="shared" si="1"/>
        <v>1142.7429617415664</v>
      </c>
      <c r="X6" s="31">
        <f t="shared" si="4"/>
        <v>1142.7429617415664</v>
      </c>
      <c r="Z6" t="s">
        <v>313</v>
      </c>
    </row>
    <row r="7" spans="1:26">
      <c r="A7" s="7" t="s">
        <v>335</v>
      </c>
      <c r="B7" s="7" t="s">
        <v>336</v>
      </c>
      <c r="C7" s="7" t="s">
        <v>324</v>
      </c>
      <c r="D7" s="7" t="s">
        <v>325</v>
      </c>
      <c r="E7" s="7" t="s">
        <v>323</v>
      </c>
      <c r="F7" s="7" t="s">
        <v>213</v>
      </c>
      <c r="G7" s="7" t="s">
        <v>337</v>
      </c>
      <c r="H7" s="7" t="s">
        <v>338</v>
      </c>
      <c r="I7" s="7" t="s">
        <v>339</v>
      </c>
      <c r="J7" s="7" t="s">
        <v>340</v>
      </c>
      <c r="K7" s="1">
        <v>13.683999999999999</v>
      </c>
      <c r="L7" s="6">
        <v>13.683999999999999</v>
      </c>
      <c r="M7" s="6">
        <v>0</v>
      </c>
      <c r="N7" s="6">
        <v>0</v>
      </c>
      <c r="O7" s="6">
        <v>0</v>
      </c>
      <c r="P7" s="6">
        <v>0</v>
      </c>
      <c r="Q7" s="1">
        <f t="shared" si="2"/>
        <v>68.42</v>
      </c>
      <c r="R7" s="47">
        <v>0.76</v>
      </c>
      <c r="S7" s="51">
        <v>0.3</v>
      </c>
      <c r="T7" s="1">
        <f t="shared" si="3"/>
        <v>15.59976</v>
      </c>
      <c r="U7" s="30">
        <f t="shared" si="0"/>
        <v>7.8864918924857631E-3</v>
      </c>
      <c r="V7" s="8">
        <v>0</v>
      </c>
      <c r="W7" s="8">
        <f t="shared" si="1"/>
        <v>2969.8485539121393</v>
      </c>
      <c r="X7" s="31">
        <f t="shared" si="4"/>
        <v>2969.8485539121393</v>
      </c>
      <c r="Z7" t="s">
        <v>314</v>
      </c>
    </row>
    <row r="8" spans="1:26">
      <c r="A8" s="7" t="s">
        <v>341</v>
      </c>
      <c r="B8" s="7" t="s">
        <v>342</v>
      </c>
      <c r="C8" s="7" t="s">
        <v>343</v>
      </c>
      <c r="D8" s="7"/>
      <c r="E8" s="7" t="s">
        <v>344</v>
      </c>
      <c r="F8" s="7" t="s">
        <v>213</v>
      </c>
      <c r="G8" s="7" t="s">
        <v>343</v>
      </c>
      <c r="H8" s="7"/>
      <c r="I8" s="7" t="s">
        <v>345</v>
      </c>
      <c r="J8" s="7" t="s">
        <v>346</v>
      </c>
      <c r="K8" s="10">
        <v>26.265999999999998</v>
      </c>
      <c r="L8" s="11">
        <f>K8-M8-P8</f>
        <v>20.065999999999999</v>
      </c>
      <c r="M8" s="6">
        <v>0.5</v>
      </c>
      <c r="N8" s="6">
        <v>0</v>
      </c>
      <c r="O8" s="6">
        <v>0</v>
      </c>
      <c r="P8" s="6">
        <v>5.7</v>
      </c>
      <c r="Q8" s="1">
        <f t="shared" si="2"/>
        <v>151.72999999999999</v>
      </c>
      <c r="R8" s="47">
        <v>0.76</v>
      </c>
      <c r="S8" s="51">
        <v>1</v>
      </c>
      <c r="T8" s="1">
        <f t="shared" si="3"/>
        <v>115.31479999999999</v>
      </c>
      <c r="U8" s="30">
        <f t="shared" si="0"/>
        <v>5.829764273832528E-2</v>
      </c>
      <c r="V8" s="8">
        <v>0</v>
      </c>
      <c r="W8" s="8">
        <f t="shared" si="1"/>
        <v>21953.382104895685</v>
      </c>
      <c r="X8" s="31">
        <f t="shared" si="4"/>
        <v>21953.382104895685</v>
      </c>
    </row>
    <row r="9" spans="1:26">
      <c r="A9" s="7" t="s">
        <v>347</v>
      </c>
      <c r="B9" s="7" t="s">
        <v>348</v>
      </c>
      <c r="C9" s="7" t="s">
        <v>349</v>
      </c>
      <c r="D9" s="7" t="s">
        <v>350</v>
      </c>
      <c r="E9" s="7" t="s">
        <v>348</v>
      </c>
      <c r="F9" s="7" t="s">
        <v>213</v>
      </c>
      <c r="G9" s="7" t="s">
        <v>351</v>
      </c>
      <c r="H9" s="7" t="s">
        <v>352</v>
      </c>
      <c r="I9" s="7" t="s">
        <v>353</v>
      </c>
      <c r="J9" s="7" t="s">
        <v>354</v>
      </c>
      <c r="K9" s="10">
        <v>20.535</v>
      </c>
      <c r="L9" s="11">
        <f>K9-M9</f>
        <v>20.035</v>
      </c>
      <c r="M9" s="6">
        <v>0.5</v>
      </c>
      <c r="N9" s="6">
        <v>0</v>
      </c>
      <c r="O9" s="6">
        <v>0</v>
      </c>
      <c r="P9" s="6">
        <v>0</v>
      </c>
      <c r="Q9" s="1">
        <f t="shared" si="2"/>
        <v>140.17500000000001</v>
      </c>
      <c r="R9" s="47">
        <v>0.56999999999999995</v>
      </c>
      <c r="S9" s="51">
        <v>1</v>
      </c>
      <c r="T9" s="1">
        <f t="shared" si="3"/>
        <v>79.899749999999997</v>
      </c>
      <c r="U9" s="30">
        <f t="shared" si="0"/>
        <v>4.0393488783586368E-2</v>
      </c>
      <c r="V9" s="8">
        <v>0</v>
      </c>
      <c r="W9" s="8">
        <f t="shared" si="1"/>
        <v>15211.141517269589</v>
      </c>
      <c r="X9" s="31">
        <f t="shared" si="4"/>
        <v>15211.141517269589</v>
      </c>
    </row>
    <row r="10" spans="1:26">
      <c r="A10" s="7" t="s">
        <v>355</v>
      </c>
      <c r="B10" s="7" t="s">
        <v>356</v>
      </c>
      <c r="C10" s="7" t="s">
        <v>357</v>
      </c>
      <c r="D10" s="7"/>
      <c r="E10" s="7" t="s">
        <v>358</v>
      </c>
      <c r="F10" s="7" t="s">
        <v>359</v>
      </c>
      <c r="G10" s="7" t="s">
        <v>360</v>
      </c>
      <c r="H10" s="7"/>
      <c r="I10" s="7" t="s">
        <v>361</v>
      </c>
      <c r="J10" s="7" t="s">
        <v>362</v>
      </c>
      <c r="K10" s="1">
        <v>0.29299999999999998</v>
      </c>
      <c r="L10" s="6">
        <v>0.29299999999999998</v>
      </c>
      <c r="M10" s="6">
        <v>0</v>
      </c>
      <c r="N10" s="6">
        <v>0</v>
      </c>
      <c r="O10" s="6">
        <v>0</v>
      </c>
      <c r="P10" s="6">
        <v>0</v>
      </c>
      <c r="Q10" s="1">
        <f t="shared" si="2"/>
        <v>1.4649999999999999</v>
      </c>
      <c r="R10" s="47">
        <v>0.76</v>
      </c>
      <c r="S10" s="51">
        <v>0.1</v>
      </c>
      <c r="T10" s="1">
        <f t="shared" si="3"/>
        <v>0.11133999999999999</v>
      </c>
      <c r="U10" s="30">
        <f t="shared" si="0"/>
        <v>5.6288174132766448E-5</v>
      </c>
      <c r="V10" s="8">
        <v>0</v>
      </c>
      <c r="W10" s="8">
        <f t="shared" si="1"/>
        <v>21.196668281600328</v>
      </c>
      <c r="X10" s="31">
        <f t="shared" si="4"/>
        <v>21.196668281600328</v>
      </c>
    </row>
    <row r="11" spans="1:26">
      <c r="A11" s="7" t="s">
        <v>363</v>
      </c>
      <c r="B11" s="7" t="s">
        <v>364</v>
      </c>
      <c r="C11" s="7" t="s">
        <v>365</v>
      </c>
      <c r="D11" s="7"/>
      <c r="E11" s="7" t="s">
        <v>364</v>
      </c>
      <c r="F11" s="7" t="s">
        <v>213</v>
      </c>
      <c r="G11" s="7" t="s">
        <v>365</v>
      </c>
      <c r="H11" s="7"/>
      <c r="I11" s="7" t="s">
        <v>366</v>
      </c>
      <c r="J11" s="7" t="s">
        <v>367</v>
      </c>
      <c r="K11" s="1">
        <v>0.755</v>
      </c>
      <c r="L11" s="6">
        <v>0.755</v>
      </c>
      <c r="M11" s="6">
        <v>0</v>
      </c>
      <c r="N11" s="27">
        <v>0</v>
      </c>
      <c r="O11" s="6">
        <v>0</v>
      </c>
      <c r="P11" s="6">
        <v>0</v>
      </c>
      <c r="Q11" s="1">
        <f t="shared" si="2"/>
        <v>3.7749999999999999</v>
      </c>
      <c r="R11" s="47">
        <v>0.76</v>
      </c>
      <c r="S11" s="51">
        <v>0.3</v>
      </c>
      <c r="T11" s="1">
        <f t="shared" si="3"/>
        <v>0.86069999999999991</v>
      </c>
      <c r="U11" s="30">
        <f t="shared" si="0"/>
        <v>4.3512871812531059E-4</v>
      </c>
      <c r="V11" s="8">
        <v>0</v>
      </c>
      <c r="W11" s="8">
        <f t="shared" si="1"/>
        <v>163.85820361032336</v>
      </c>
      <c r="X11" s="31">
        <f t="shared" si="4"/>
        <v>163.85820361032336</v>
      </c>
      <c r="Z11" s="23"/>
    </row>
    <row r="12" spans="1:26">
      <c r="A12" s="7" t="s">
        <v>368</v>
      </c>
      <c r="B12" s="7" t="s">
        <v>369</v>
      </c>
      <c r="C12" s="7" t="s">
        <v>370</v>
      </c>
      <c r="D12" s="7"/>
      <c r="E12" s="7" t="s">
        <v>371</v>
      </c>
      <c r="F12" s="7" t="s">
        <v>213</v>
      </c>
      <c r="G12" s="7" t="s">
        <v>370</v>
      </c>
      <c r="H12" s="7"/>
      <c r="I12" s="7" t="s">
        <v>372</v>
      </c>
      <c r="J12" s="7" t="s">
        <v>373</v>
      </c>
      <c r="K12" s="10">
        <v>0.28299999999999997</v>
      </c>
      <c r="L12" s="6">
        <v>0</v>
      </c>
      <c r="M12" s="6">
        <v>0</v>
      </c>
      <c r="N12" s="6">
        <v>0</v>
      </c>
      <c r="O12" s="6">
        <v>0</v>
      </c>
      <c r="P12" s="6">
        <v>0.28299999999999997</v>
      </c>
      <c r="Q12" s="1">
        <f t="shared" si="2"/>
        <v>0.56599999999999995</v>
      </c>
      <c r="R12" s="47">
        <v>0.66</v>
      </c>
      <c r="S12" s="51">
        <v>0.8</v>
      </c>
      <c r="T12" s="1">
        <f t="shared" si="3"/>
        <v>0.298848</v>
      </c>
      <c r="U12" s="30">
        <f t="shared" si="0"/>
        <v>1.5108324288871017E-4</v>
      </c>
      <c r="V12" s="8">
        <v>0</v>
      </c>
      <c r="W12" s="8">
        <f t="shared" si="1"/>
        <v>56.894035590261325</v>
      </c>
      <c r="X12" s="31">
        <f t="shared" si="4"/>
        <v>56.894035590261325</v>
      </c>
    </row>
    <row r="13" spans="1:26">
      <c r="A13" s="7" t="s">
        <v>374</v>
      </c>
      <c r="B13" s="7" t="s">
        <v>375</v>
      </c>
      <c r="C13" s="7" t="s">
        <v>370</v>
      </c>
      <c r="D13" s="7"/>
      <c r="E13" s="7" t="s">
        <v>371</v>
      </c>
      <c r="F13" s="7" t="s">
        <v>213</v>
      </c>
      <c r="G13" s="7" t="s">
        <v>370</v>
      </c>
      <c r="H13" s="7"/>
      <c r="I13" s="7" t="s">
        <v>372</v>
      </c>
      <c r="J13" s="7" t="s">
        <v>373</v>
      </c>
      <c r="K13" s="10">
        <v>7.157</v>
      </c>
      <c r="L13" s="6">
        <v>7.157</v>
      </c>
      <c r="M13" s="6">
        <v>0</v>
      </c>
      <c r="N13" s="6">
        <v>0</v>
      </c>
      <c r="O13" s="6">
        <v>0</v>
      </c>
      <c r="P13" s="6">
        <v>0</v>
      </c>
      <c r="Q13" s="1">
        <f t="shared" si="2"/>
        <v>35.784999999999997</v>
      </c>
      <c r="R13" s="47">
        <v>0.76</v>
      </c>
      <c r="S13" s="51">
        <v>0.8</v>
      </c>
      <c r="T13" s="1">
        <f t="shared" si="3"/>
        <v>21.757279999999998</v>
      </c>
      <c r="U13" s="30">
        <f t="shared" si="0"/>
        <v>1.0999439242818007E-2</v>
      </c>
      <c r="V13" s="8">
        <v>0</v>
      </c>
      <c r="W13" s="8">
        <f t="shared" si="1"/>
        <v>4142.1038878201653</v>
      </c>
      <c r="X13" s="31">
        <f t="shared" si="4"/>
        <v>4142.1038878201653</v>
      </c>
    </row>
    <row r="14" spans="1:26">
      <c r="A14" s="7" t="s">
        <v>376</v>
      </c>
      <c r="B14" s="7" t="s">
        <v>377</v>
      </c>
      <c r="C14" s="7" t="s">
        <v>378</v>
      </c>
      <c r="D14" s="7" t="s">
        <v>379</v>
      </c>
      <c r="E14" s="7" t="s">
        <v>377</v>
      </c>
      <c r="F14" s="7" t="s">
        <v>380</v>
      </c>
      <c r="G14" s="7" t="s">
        <v>381</v>
      </c>
      <c r="H14" s="7" t="s">
        <v>382</v>
      </c>
      <c r="I14" s="7" t="s">
        <v>383</v>
      </c>
      <c r="J14" s="7" t="s">
        <v>384</v>
      </c>
      <c r="K14" s="10">
        <v>4.4660000000000002</v>
      </c>
      <c r="L14" s="11">
        <f>K14-2</f>
        <v>2.4660000000000002</v>
      </c>
      <c r="M14" s="6">
        <v>0.5</v>
      </c>
      <c r="N14" s="6">
        <v>1.5</v>
      </c>
      <c r="O14" s="6">
        <v>0</v>
      </c>
      <c r="P14" s="6">
        <v>0</v>
      </c>
      <c r="Q14" s="1">
        <f t="shared" si="2"/>
        <v>59.83</v>
      </c>
      <c r="R14" s="47">
        <v>0.76</v>
      </c>
      <c r="S14" s="51">
        <v>1</v>
      </c>
      <c r="T14" s="1">
        <f t="shared" si="3"/>
        <v>45.470799999999997</v>
      </c>
      <c r="U14" s="30">
        <f t="shared" si="0"/>
        <v>2.2987859784050626E-2</v>
      </c>
      <c r="V14" s="8">
        <v>0</v>
      </c>
      <c r="W14" s="8">
        <f t="shared" si="1"/>
        <v>8656.632513912271</v>
      </c>
      <c r="X14" s="31">
        <f t="shared" si="4"/>
        <v>8656.632513912271</v>
      </c>
    </row>
    <row r="15" spans="1:26">
      <c r="A15" s="7" t="s">
        <v>385</v>
      </c>
      <c r="B15" s="7" t="s">
        <v>386</v>
      </c>
      <c r="C15" s="7" t="s">
        <v>387</v>
      </c>
      <c r="D15" s="7" t="s">
        <v>388</v>
      </c>
      <c r="E15" s="7" t="s">
        <v>386</v>
      </c>
      <c r="F15" s="7" t="s">
        <v>213</v>
      </c>
      <c r="G15" s="7" t="s">
        <v>389</v>
      </c>
      <c r="H15" s="7" t="s">
        <v>390</v>
      </c>
      <c r="I15" s="7" t="s">
        <v>391</v>
      </c>
      <c r="J15" s="7" t="s">
        <v>392</v>
      </c>
      <c r="K15" s="1">
        <v>0.28000000000000003</v>
      </c>
      <c r="L15" s="6">
        <v>0.28000000000000003</v>
      </c>
      <c r="M15" s="6">
        <v>0</v>
      </c>
      <c r="N15" s="6">
        <v>0</v>
      </c>
      <c r="O15" s="6">
        <v>0</v>
      </c>
      <c r="P15" s="6">
        <v>0</v>
      </c>
      <c r="Q15" s="1">
        <f t="shared" si="2"/>
        <v>1.4000000000000001</v>
      </c>
      <c r="R15" s="47">
        <v>0.76</v>
      </c>
      <c r="S15" s="51">
        <v>0.1</v>
      </c>
      <c r="T15" s="1">
        <f t="shared" si="3"/>
        <v>0.10640000000000001</v>
      </c>
      <c r="U15" s="30">
        <f t="shared" si="0"/>
        <v>5.3790746611517434E-5</v>
      </c>
      <c r="V15" s="8">
        <v>0</v>
      </c>
      <c r="W15" s="8">
        <f t="shared" si="1"/>
        <v>20.256201770812606</v>
      </c>
      <c r="X15" s="31">
        <f t="shared" si="4"/>
        <v>20.256201770812606</v>
      </c>
    </row>
    <row r="16" spans="1:26">
      <c r="A16" s="7" t="s">
        <v>393</v>
      </c>
      <c r="B16" s="7" t="s">
        <v>394</v>
      </c>
      <c r="C16" s="7" t="s">
        <v>395</v>
      </c>
      <c r="D16" s="7" t="s">
        <v>396</v>
      </c>
      <c r="E16" s="7"/>
      <c r="F16" s="7"/>
      <c r="G16" s="7" t="s">
        <v>397</v>
      </c>
      <c r="H16" s="7" t="s">
        <v>398</v>
      </c>
      <c r="I16" s="7" t="s">
        <v>399</v>
      </c>
      <c r="J16" s="7" t="s">
        <v>334</v>
      </c>
      <c r="K16" s="10">
        <v>5.8000000000000003E-2</v>
      </c>
      <c r="L16" s="6">
        <v>0</v>
      </c>
      <c r="M16" s="6">
        <v>0</v>
      </c>
      <c r="N16" s="6">
        <v>5.8000000000000003E-2</v>
      </c>
      <c r="O16" s="6">
        <v>0</v>
      </c>
      <c r="P16" s="6">
        <v>0</v>
      </c>
      <c r="Q16" s="1">
        <f t="shared" si="2"/>
        <v>0.29000000000000004</v>
      </c>
      <c r="R16" s="47">
        <v>0.1</v>
      </c>
      <c r="S16" s="51">
        <v>1</v>
      </c>
      <c r="T16" s="1">
        <f t="shared" si="3"/>
        <v>2.9000000000000005E-2</v>
      </c>
      <c r="U16" s="30">
        <f t="shared" si="0"/>
        <v>1.4661011764417347E-5</v>
      </c>
      <c r="V16" s="8">
        <v>0</v>
      </c>
      <c r="W16" s="8">
        <f t="shared" si="1"/>
        <v>5.5209572495635868</v>
      </c>
      <c r="X16" s="31">
        <f t="shared" si="4"/>
        <v>10</v>
      </c>
    </row>
    <row r="17" spans="1:24">
      <c r="A17" s="7" t="s">
        <v>400</v>
      </c>
      <c r="B17" s="7" t="s">
        <v>401</v>
      </c>
      <c r="C17" s="7" t="s">
        <v>402</v>
      </c>
      <c r="D17" s="7"/>
      <c r="E17" s="7" t="s">
        <v>401</v>
      </c>
      <c r="F17" s="7" t="s">
        <v>213</v>
      </c>
      <c r="G17" s="7" t="s">
        <v>214</v>
      </c>
      <c r="H17" s="7"/>
      <c r="I17" s="7" t="s">
        <v>215</v>
      </c>
      <c r="J17" s="7" t="s">
        <v>216</v>
      </c>
      <c r="K17" s="10">
        <v>4.4409999999999998</v>
      </c>
      <c r="L17" s="6">
        <v>0</v>
      </c>
      <c r="M17" s="6">
        <v>0.5</v>
      </c>
      <c r="N17" s="11">
        <f>K17-0.5</f>
        <v>3.9409999999999998</v>
      </c>
      <c r="O17" s="6">
        <v>0</v>
      </c>
      <c r="P17" s="6">
        <v>0</v>
      </c>
      <c r="Q17" s="1">
        <f t="shared" si="2"/>
        <v>59.704999999999998</v>
      </c>
      <c r="R17" s="47">
        <v>0.56999999999999995</v>
      </c>
      <c r="S17" s="51">
        <v>1</v>
      </c>
      <c r="T17" s="1">
        <f t="shared" si="3"/>
        <v>34.031849999999999</v>
      </c>
      <c r="U17" s="30">
        <f t="shared" si="0"/>
        <v>1.7204874248789186E-2</v>
      </c>
      <c r="V17" s="8">
        <v>0</v>
      </c>
      <c r="W17" s="8">
        <f t="shared" si="1"/>
        <v>6478.9099646055338</v>
      </c>
      <c r="X17" s="31">
        <f t="shared" si="4"/>
        <v>6478.9099646055338</v>
      </c>
    </row>
    <row r="18" spans="1:24">
      <c r="A18" s="7" t="s">
        <v>403</v>
      </c>
      <c r="B18" s="7" t="s">
        <v>404</v>
      </c>
      <c r="C18" s="7" t="s">
        <v>405</v>
      </c>
      <c r="D18" s="7" t="s">
        <v>406</v>
      </c>
      <c r="E18" s="7" t="s">
        <v>404</v>
      </c>
      <c r="F18" s="7" t="s">
        <v>213</v>
      </c>
      <c r="G18" s="7" t="s">
        <v>214</v>
      </c>
      <c r="H18" s="7"/>
      <c r="I18" s="7" t="s">
        <v>215</v>
      </c>
      <c r="J18" s="7" t="s">
        <v>216</v>
      </c>
      <c r="K18" s="10">
        <v>2.8929999999999998</v>
      </c>
      <c r="L18" s="6">
        <v>0</v>
      </c>
      <c r="M18" s="6">
        <v>0.5</v>
      </c>
      <c r="N18" s="11">
        <f>K18-0.5</f>
        <v>2.3929999999999998</v>
      </c>
      <c r="O18" s="6">
        <v>0</v>
      </c>
      <c r="P18" s="6"/>
      <c r="Q18" s="1">
        <f t="shared" si="2"/>
        <v>51.965000000000003</v>
      </c>
      <c r="R18" s="47">
        <v>0.1</v>
      </c>
      <c r="S18" s="51">
        <v>1</v>
      </c>
      <c r="T18" s="1">
        <f t="shared" si="3"/>
        <v>5.1965000000000003</v>
      </c>
      <c r="U18" s="30">
        <f t="shared" si="0"/>
        <v>2.6271016425446461E-3</v>
      </c>
      <c r="V18" s="8">
        <v>0</v>
      </c>
      <c r="W18" s="8">
        <f t="shared" si="1"/>
        <v>989.298425770937</v>
      </c>
      <c r="X18" s="31">
        <f t="shared" si="4"/>
        <v>989.298425770937</v>
      </c>
    </row>
    <row r="19" spans="1:24">
      <c r="A19" s="7" t="s">
        <v>407</v>
      </c>
      <c r="B19" s="7" t="s">
        <v>408</v>
      </c>
      <c r="C19" s="7" t="s">
        <v>409</v>
      </c>
      <c r="D19" s="7" t="s">
        <v>410</v>
      </c>
      <c r="E19" s="7" t="s">
        <v>408</v>
      </c>
      <c r="F19" s="7" t="s">
        <v>213</v>
      </c>
      <c r="G19" s="7" t="s">
        <v>411</v>
      </c>
      <c r="H19" s="7"/>
      <c r="I19" s="7" t="s">
        <v>412</v>
      </c>
      <c r="J19" s="7" t="s">
        <v>384</v>
      </c>
      <c r="K19" s="10">
        <v>4.4269999999999996</v>
      </c>
      <c r="L19" s="6">
        <v>0</v>
      </c>
      <c r="M19" s="6">
        <v>0.5</v>
      </c>
      <c r="N19" s="11">
        <f>K19-0.5-0.63</f>
        <v>3.2969999999999997</v>
      </c>
      <c r="O19" s="6">
        <v>0</v>
      </c>
      <c r="P19" s="6">
        <v>0.63</v>
      </c>
      <c r="Q19" s="1">
        <f t="shared" si="2"/>
        <v>57.744999999999997</v>
      </c>
      <c r="R19" s="47">
        <v>1</v>
      </c>
      <c r="S19" s="51">
        <v>1</v>
      </c>
      <c r="T19" s="1">
        <f t="shared" si="3"/>
        <v>57.744999999999997</v>
      </c>
      <c r="U19" s="30">
        <f t="shared" si="0"/>
        <v>2.9193107735733775E-2</v>
      </c>
      <c r="V19" s="8">
        <v>0</v>
      </c>
      <c r="W19" s="8">
        <f t="shared" si="1"/>
        <v>10993.368150898248</v>
      </c>
      <c r="X19" s="31">
        <f t="shared" si="4"/>
        <v>10993.368150898248</v>
      </c>
    </row>
    <row r="20" spans="1:24">
      <c r="A20" s="7" t="s">
        <v>413</v>
      </c>
      <c r="B20" s="7" t="s">
        <v>414</v>
      </c>
      <c r="C20" s="7" t="s">
        <v>415</v>
      </c>
      <c r="D20" s="7" t="s">
        <v>416</v>
      </c>
      <c r="E20" s="7" t="s">
        <v>414</v>
      </c>
      <c r="F20" s="7" t="s">
        <v>213</v>
      </c>
      <c r="G20" s="7" t="s">
        <v>214</v>
      </c>
      <c r="H20" s="7"/>
      <c r="I20" s="7" t="s">
        <v>215</v>
      </c>
      <c r="J20" s="7" t="s">
        <v>216</v>
      </c>
      <c r="K20" s="10">
        <v>4.5389999999999997</v>
      </c>
      <c r="L20" s="6">
        <v>2.2000000000000002</v>
      </c>
      <c r="M20" s="6">
        <v>0.5</v>
      </c>
      <c r="N20" s="11">
        <f>K20-L20-M20</f>
        <v>1.8389999999999995</v>
      </c>
      <c r="O20" s="6">
        <v>0</v>
      </c>
      <c r="P20" s="6">
        <v>0</v>
      </c>
      <c r="Q20" s="1">
        <f t="shared" si="2"/>
        <v>60.194999999999993</v>
      </c>
      <c r="R20" s="47">
        <v>0.38</v>
      </c>
      <c r="S20" s="51">
        <v>1</v>
      </c>
      <c r="T20" s="1">
        <f t="shared" si="3"/>
        <v>22.874099999999999</v>
      </c>
      <c r="U20" s="30">
        <f t="shared" si="0"/>
        <v>1.1564049972429612E-2</v>
      </c>
      <c r="V20" s="8">
        <v>0</v>
      </c>
      <c r="W20" s="8">
        <f t="shared" si="1"/>
        <v>4354.7216628359447</v>
      </c>
      <c r="X20" s="31">
        <f t="shared" si="4"/>
        <v>4354.7216628359447</v>
      </c>
    </row>
    <row r="21" spans="1:24">
      <c r="A21" s="7" t="s">
        <v>417</v>
      </c>
      <c r="B21" s="7" t="s">
        <v>418</v>
      </c>
      <c r="C21" s="7" t="s">
        <v>419</v>
      </c>
      <c r="D21" s="7" t="s">
        <v>420</v>
      </c>
      <c r="E21" s="7" t="s">
        <v>418</v>
      </c>
      <c r="F21" s="7" t="s">
        <v>380</v>
      </c>
      <c r="G21" s="7" t="s">
        <v>421</v>
      </c>
      <c r="H21" s="7"/>
      <c r="I21" s="7" t="s">
        <v>422</v>
      </c>
      <c r="J21" s="7" t="s">
        <v>384</v>
      </c>
      <c r="K21" s="10">
        <v>4.4279999999999999</v>
      </c>
      <c r="L21" s="6">
        <v>0</v>
      </c>
      <c r="M21" s="6">
        <v>0.5</v>
      </c>
      <c r="N21" s="11">
        <f>K21-0.5</f>
        <v>3.9279999999999999</v>
      </c>
      <c r="O21" s="6">
        <v>0</v>
      </c>
      <c r="P21" s="6">
        <v>0</v>
      </c>
      <c r="Q21" s="1">
        <f t="shared" si="2"/>
        <v>59.64</v>
      </c>
      <c r="R21" s="47">
        <v>0.66</v>
      </c>
      <c r="S21" s="51">
        <v>1</v>
      </c>
      <c r="T21" s="1">
        <f t="shared" si="3"/>
        <v>39.362400000000001</v>
      </c>
      <c r="U21" s="30">
        <f t="shared" si="0"/>
        <v>1.9899745154334528E-2</v>
      </c>
      <c r="V21" s="8">
        <v>0</v>
      </c>
      <c r="W21" s="8">
        <f t="shared" si="1"/>
        <v>7493.7285393179891</v>
      </c>
      <c r="X21" s="31">
        <f t="shared" si="4"/>
        <v>7493.7285393179891</v>
      </c>
    </row>
    <row r="22" spans="1:24">
      <c r="A22" s="7" t="s">
        <v>423</v>
      </c>
      <c r="B22" s="7" t="s">
        <v>424</v>
      </c>
      <c r="C22" s="7" t="s">
        <v>425</v>
      </c>
      <c r="D22" s="7"/>
      <c r="E22" s="7" t="s">
        <v>424</v>
      </c>
      <c r="F22" s="7" t="s">
        <v>213</v>
      </c>
      <c r="G22" s="7" t="s">
        <v>426</v>
      </c>
      <c r="H22" s="7"/>
      <c r="I22" s="7" t="s">
        <v>427</v>
      </c>
      <c r="J22" s="7" t="s">
        <v>384</v>
      </c>
      <c r="K22" s="10">
        <v>4.4889999999999999</v>
      </c>
      <c r="L22" s="11">
        <f>K22-1.68</f>
        <v>2.8090000000000002</v>
      </c>
      <c r="M22" s="6">
        <v>0.5</v>
      </c>
      <c r="N22" s="6">
        <v>1.18</v>
      </c>
      <c r="O22" s="6">
        <v>0</v>
      </c>
      <c r="P22" s="6">
        <v>0</v>
      </c>
      <c r="Q22" s="1">
        <f t="shared" si="2"/>
        <v>59.945</v>
      </c>
      <c r="R22" s="47">
        <v>0.66</v>
      </c>
      <c r="S22" s="51">
        <v>1</v>
      </c>
      <c r="T22" s="1">
        <f t="shared" si="3"/>
        <v>39.563700000000004</v>
      </c>
      <c r="U22" s="30">
        <f t="shared" si="0"/>
        <v>2.0001512798064777E-2</v>
      </c>
      <c r="V22" s="8">
        <v>0</v>
      </c>
      <c r="W22" s="8">
        <f t="shared" si="1"/>
        <v>7532.0515977434079</v>
      </c>
      <c r="X22" s="31">
        <f t="shared" si="4"/>
        <v>7532.0515977434079</v>
      </c>
    </row>
    <row r="23" spans="1:24">
      <c r="A23" s="7" t="s">
        <v>251</v>
      </c>
      <c r="B23" s="7" t="s">
        <v>252</v>
      </c>
      <c r="C23" s="7" t="s">
        <v>253</v>
      </c>
      <c r="D23" s="7"/>
      <c r="E23" s="7" t="s">
        <v>252</v>
      </c>
      <c r="F23" s="7" t="s">
        <v>213</v>
      </c>
      <c r="G23" s="7" t="s">
        <v>254</v>
      </c>
      <c r="H23" s="7"/>
      <c r="I23" s="7" t="s">
        <v>255</v>
      </c>
      <c r="J23" s="7" t="s">
        <v>237</v>
      </c>
      <c r="K23" s="10">
        <v>0.68200000000000005</v>
      </c>
      <c r="L23" s="6">
        <v>0</v>
      </c>
      <c r="M23" s="6">
        <v>0</v>
      </c>
      <c r="N23" s="6">
        <v>0.68200000000000005</v>
      </c>
      <c r="O23" s="6">
        <v>0</v>
      </c>
      <c r="P23" s="6">
        <v>0</v>
      </c>
      <c r="Q23" s="1">
        <f t="shared" si="2"/>
        <v>3.41</v>
      </c>
      <c r="R23" s="47">
        <v>0.56999999999999995</v>
      </c>
      <c r="S23" s="51">
        <v>1</v>
      </c>
      <c r="T23" s="1">
        <f t="shared" si="3"/>
        <v>1.9437</v>
      </c>
      <c r="U23" s="30">
        <f t="shared" si="0"/>
        <v>9.8264167470682733E-4</v>
      </c>
      <c r="V23" s="8">
        <v>0</v>
      </c>
      <c r="W23" s="8">
        <f t="shared" si="1"/>
        <v>370.0374002060945</v>
      </c>
      <c r="X23" s="31">
        <f t="shared" si="4"/>
        <v>370.0374002060945</v>
      </c>
    </row>
    <row r="24" spans="1:24">
      <c r="A24" s="7" t="s">
        <v>428</v>
      </c>
      <c r="B24" s="7" t="s">
        <v>429</v>
      </c>
      <c r="C24" s="7" t="s">
        <v>430</v>
      </c>
      <c r="D24" s="7" t="s">
        <v>431</v>
      </c>
      <c r="E24" s="7" t="s">
        <v>429</v>
      </c>
      <c r="F24" s="7" t="s">
        <v>213</v>
      </c>
      <c r="G24" s="7" t="s">
        <v>432</v>
      </c>
      <c r="H24" s="7" t="s">
        <v>433</v>
      </c>
      <c r="I24" s="7" t="s">
        <v>434</v>
      </c>
      <c r="J24" s="7" t="s">
        <v>435</v>
      </c>
      <c r="K24" s="10">
        <v>4.6230000000000002</v>
      </c>
      <c r="L24" s="6">
        <v>0</v>
      </c>
      <c r="M24" s="6">
        <v>0.5</v>
      </c>
      <c r="N24" s="11">
        <f>K24-M24</f>
        <v>4.1230000000000002</v>
      </c>
      <c r="O24" s="6">
        <v>0</v>
      </c>
      <c r="P24" s="6">
        <v>0</v>
      </c>
      <c r="Q24" s="1">
        <f t="shared" si="2"/>
        <v>60.615000000000002</v>
      </c>
      <c r="R24" s="47">
        <v>0.25</v>
      </c>
      <c r="S24" s="51">
        <v>1</v>
      </c>
      <c r="T24" s="1">
        <f t="shared" si="3"/>
        <v>15.15375</v>
      </c>
      <c r="U24" s="30">
        <f t="shared" si="0"/>
        <v>7.6610105870703223E-3</v>
      </c>
      <c r="V24" s="8">
        <v>0</v>
      </c>
      <c r="W24" s="8">
        <f t="shared" si="1"/>
        <v>2884.9381351922134</v>
      </c>
      <c r="X24" s="31">
        <f t="shared" si="4"/>
        <v>2884.9381351922134</v>
      </c>
    </row>
    <row r="25" spans="1:24">
      <c r="A25" s="7" t="s">
        <v>256</v>
      </c>
      <c r="B25" s="7" t="s">
        <v>257</v>
      </c>
      <c r="C25" s="7" t="s">
        <v>258</v>
      </c>
      <c r="D25" s="7"/>
      <c r="E25" s="7" t="s">
        <v>257</v>
      </c>
      <c r="F25" s="7" t="s">
        <v>213</v>
      </c>
      <c r="G25" s="7" t="s">
        <v>214</v>
      </c>
      <c r="H25" s="7"/>
      <c r="I25" s="7" t="s">
        <v>215</v>
      </c>
      <c r="J25" s="7" t="s">
        <v>216</v>
      </c>
      <c r="K25" s="10">
        <v>0.33200000000000002</v>
      </c>
      <c r="L25" s="6">
        <v>0</v>
      </c>
      <c r="M25" s="6">
        <v>0</v>
      </c>
      <c r="N25" s="6">
        <v>0.33200000000000002</v>
      </c>
      <c r="O25" s="6">
        <v>0</v>
      </c>
      <c r="P25" s="6">
        <v>0</v>
      </c>
      <c r="Q25" s="1">
        <f t="shared" si="2"/>
        <v>1.6600000000000001</v>
      </c>
      <c r="R25" s="47">
        <v>0.56999999999999995</v>
      </c>
      <c r="S25" s="51">
        <v>1</v>
      </c>
      <c r="T25" s="1">
        <f t="shared" si="3"/>
        <v>0.94620000000000004</v>
      </c>
      <c r="U25" s="30">
        <f t="shared" si="0"/>
        <v>4.7835342522385146E-4</v>
      </c>
      <c r="V25" s="8">
        <v>0</v>
      </c>
      <c r="W25" s="8">
        <f t="shared" si="1"/>
        <v>180.13550860472637</v>
      </c>
      <c r="X25" s="31">
        <f t="shared" si="4"/>
        <v>180.13550860472637</v>
      </c>
    </row>
    <row r="26" spans="1:24">
      <c r="A26" s="7" t="s">
        <v>436</v>
      </c>
      <c r="B26" s="7" t="s">
        <v>437</v>
      </c>
      <c r="C26" s="7" t="s">
        <v>438</v>
      </c>
      <c r="D26" s="7" t="s">
        <v>439</v>
      </c>
      <c r="E26" s="7" t="s">
        <v>437</v>
      </c>
      <c r="F26" s="7" t="s">
        <v>213</v>
      </c>
      <c r="G26" s="7" t="s">
        <v>440</v>
      </c>
      <c r="H26" s="7" t="s">
        <v>441</v>
      </c>
      <c r="I26" s="7" t="s">
        <v>442</v>
      </c>
      <c r="J26" s="7" t="s">
        <v>443</v>
      </c>
      <c r="K26" s="10">
        <v>3.597</v>
      </c>
      <c r="L26" s="11">
        <f>K26-1.4</f>
        <v>2.1970000000000001</v>
      </c>
      <c r="M26" s="6">
        <v>0.5</v>
      </c>
      <c r="N26" s="6">
        <v>0.9</v>
      </c>
      <c r="O26" s="6">
        <v>0</v>
      </c>
      <c r="P26" s="6">
        <v>0</v>
      </c>
      <c r="Q26" s="1">
        <f t="shared" si="2"/>
        <v>55.484999999999999</v>
      </c>
      <c r="R26" s="47">
        <v>0.76</v>
      </c>
      <c r="S26" s="51">
        <v>1</v>
      </c>
      <c r="T26" s="1">
        <f t="shared" si="3"/>
        <v>42.168599999999998</v>
      </c>
      <c r="U26" s="30">
        <f t="shared" si="0"/>
        <v>2.1318425541000316E-2</v>
      </c>
      <c r="V26" s="8">
        <v>0</v>
      </c>
      <c r="W26" s="8">
        <f t="shared" si="1"/>
        <v>8027.9668232395506</v>
      </c>
      <c r="X26" s="31">
        <f t="shared" si="4"/>
        <v>8027.9668232395506</v>
      </c>
    </row>
    <row r="27" spans="1:24">
      <c r="A27" s="7" t="s">
        <v>266</v>
      </c>
      <c r="B27" s="7" t="s">
        <v>267</v>
      </c>
      <c r="C27" s="7" t="s">
        <v>268</v>
      </c>
      <c r="D27" s="7" t="s">
        <v>269</v>
      </c>
      <c r="E27" s="7" t="s">
        <v>267</v>
      </c>
      <c r="F27" s="7" t="s">
        <v>213</v>
      </c>
      <c r="G27" s="7" t="s">
        <v>214</v>
      </c>
      <c r="H27" s="7"/>
      <c r="I27" s="7" t="s">
        <v>215</v>
      </c>
      <c r="J27" s="7" t="s">
        <v>216</v>
      </c>
      <c r="K27" s="10">
        <v>0.36199999999999999</v>
      </c>
      <c r="L27" s="6">
        <v>0</v>
      </c>
      <c r="M27" s="6">
        <v>0</v>
      </c>
      <c r="N27" s="6">
        <v>0.36199999999999999</v>
      </c>
      <c r="O27" s="6">
        <v>0</v>
      </c>
      <c r="P27" s="6">
        <v>0</v>
      </c>
      <c r="Q27" s="1">
        <f t="shared" si="2"/>
        <v>1.81</v>
      </c>
      <c r="R27" s="47">
        <v>0.56999999999999995</v>
      </c>
      <c r="S27" s="51">
        <v>1</v>
      </c>
      <c r="T27" s="1">
        <f t="shared" si="3"/>
        <v>1.0316999999999998</v>
      </c>
      <c r="U27" s="30">
        <f t="shared" si="0"/>
        <v>5.2157813232239216E-4</v>
      </c>
      <c r="V27" s="8">
        <v>0</v>
      </c>
      <c r="W27" s="8">
        <f t="shared" si="1"/>
        <v>196.41281359912932</v>
      </c>
      <c r="X27" s="31">
        <f t="shared" si="4"/>
        <v>196.41281359912932</v>
      </c>
    </row>
    <row r="28" spans="1:24">
      <c r="A28" s="7" t="s">
        <v>444</v>
      </c>
      <c r="B28" s="7" t="s">
        <v>445</v>
      </c>
      <c r="C28" s="7" t="s">
        <v>329</v>
      </c>
      <c r="D28" s="7" t="s">
        <v>330</v>
      </c>
      <c r="E28" s="7" t="s">
        <v>328</v>
      </c>
      <c r="F28" s="7" t="s">
        <v>213</v>
      </c>
      <c r="G28" s="7" t="s">
        <v>331</v>
      </c>
      <c r="H28" s="7" t="s">
        <v>332</v>
      </c>
      <c r="I28" s="7" t="s">
        <v>333</v>
      </c>
      <c r="J28" s="7" t="s">
        <v>334</v>
      </c>
      <c r="K28" s="10">
        <v>0.58199999999999996</v>
      </c>
      <c r="L28" s="6">
        <v>0.58199999999999996</v>
      </c>
      <c r="M28" s="6">
        <v>0</v>
      </c>
      <c r="N28" s="6">
        <v>0</v>
      </c>
      <c r="O28" s="6">
        <v>0</v>
      </c>
      <c r="P28" s="6">
        <v>0</v>
      </c>
      <c r="Q28" s="1">
        <f t="shared" si="2"/>
        <v>2.9099999999999997</v>
      </c>
      <c r="R28" s="47">
        <v>0.56999999999999995</v>
      </c>
      <c r="S28" s="51">
        <v>1</v>
      </c>
      <c r="T28" s="1">
        <f t="shared" si="3"/>
        <v>1.6586999999999996</v>
      </c>
      <c r="U28" s="30">
        <f t="shared" si="0"/>
        <v>8.3855931771169116E-4</v>
      </c>
      <c r="V28" s="8">
        <v>0</v>
      </c>
      <c r="W28" s="8">
        <f t="shared" si="1"/>
        <v>315.77971689141782</v>
      </c>
      <c r="X28" s="31">
        <f t="shared" si="4"/>
        <v>315.77971689141782</v>
      </c>
    </row>
    <row r="29" spans="1:24">
      <c r="A29" s="7" t="s">
        <v>446</v>
      </c>
      <c r="B29" s="7" t="s">
        <v>447</v>
      </c>
      <c r="C29" s="7" t="s">
        <v>448</v>
      </c>
      <c r="D29" s="7"/>
      <c r="E29" s="7" t="s">
        <v>447</v>
      </c>
      <c r="F29" s="7" t="s">
        <v>213</v>
      </c>
      <c r="G29" s="7" t="s">
        <v>214</v>
      </c>
      <c r="H29" s="7"/>
      <c r="I29" s="7" t="s">
        <v>215</v>
      </c>
      <c r="J29" s="7" t="s">
        <v>216</v>
      </c>
      <c r="K29" s="1">
        <v>2.5999999999999999E-2</v>
      </c>
      <c r="L29" s="6">
        <v>0</v>
      </c>
      <c r="M29" s="6">
        <v>0</v>
      </c>
      <c r="N29" s="6">
        <v>2.5999999999999999E-2</v>
      </c>
      <c r="O29" s="6">
        <v>0</v>
      </c>
      <c r="P29" s="6">
        <v>0</v>
      </c>
      <c r="Q29" s="1">
        <f t="shared" si="2"/>
        <v>0.13</v>
      </c>
      <c r="R29" s="47">
        <v>0.76</v>
      </c>
      <c r="S29" s="51">
        <v>0.2</v>
      </c>
      <c r="T29" s="1">
        <f t="shared" si="3"/>
        <v>1.976E-2</v>
      </c>
      <c r="U29" s="30">
        <f t="shared" si="0"/>
        <v>9.9897100849960946E-6</v>
      </c>
      <c r="V29" s="8">
        <v>0</v>
      </c>
      <c r="W29" s="8">
        <f t="shared" si="1"/>
        <v>3.7618660431509121</v>
      </c>
      <c r="X29" s="31">
        <f t="shared" si="4"/>
        <v>10</v>
      </c>
    </row>
    <row r="30" spans="1:24">
      <c r="A30" s="7" t="s">
        <v>449</v>
      </c>
      <c r="B30" s="7" t="s">
        <v>450</v>
      </c>
      <c r="C30" s="7" t="s">
        <v>451</v>
      </c>
      <c r="D30" s="7" t="s">
        <v>452</v>
      </c>
      <c r="E30" s="7"/>
      <c r="F30" s="7"/>
      <c r="G30" s="7" t="s">
        <v>453</v>
      </c>
      <c r="H30" s="7" t="s">
        <v>454</v>
      </c>
      <c r="I30" s="7" t="s">
        <v>455</v>
      </c>
      <c r="J30" s="7" t="s">
        <v>456</v>
      </c>
      <c r="K30" s="1">
        <v>1.6140000000000001</v>
      </c>
      <c r="L30" s="6">
        <v>0</v>
      </c>
      <c r="M30" s="6">
        <v>0.5</v>
      </c>
      <c r="N30" s="6">
        <v>1.1140000000000001</v>
      </c>
      <c r="O30" s="6">
        <v>0</v>
      </c>
      <c r="P30" s="6">
        <v>0</v>
      </c>
      <c r="Q30" s="1">
        <f t="shared" si="2"/>
        <v>45.57</v>
      </c>
      <c r="R30" s="47">
        <v>0.76</v>
      </c>
      <c r="S30" s="51">
        <v>0.2</v>
      </c>
      <c r="T30" s="1">
        <f t="shared" si="3"/>
        <v>6.9266400000000008</v>
      </c>
      <c r="U30" s="30">
        <f t="shared" si="0"/>
        <v>3.501777604409785E-3</v>
      </c>
      <c r="V30" s="8">
        <v>0</v>
      </c>
      <c r="W30" s="8">
        <f t="shared" si="1"/>
        <v>1318.6787352799006</v>
      </c>
      <c r="X30" s="31">
        <f t="shared" si="4"/>
        <v>1318.6787352799006</v>
      </c>
    </row>
    <row r="31" spans="1:24">
      <c r="A31" s="7" t="s">
        <v>457</v>
      </c>
      <c r="B31" s="7" t="s">
        <v>458</v>
      </c>
      <c r="C31" s="7" t="s">
        <v>459</v>
      </c>
      <c r="D31" s="7" t="s">
        <v>460</v>
      </c>
      <c r="E31" s="7" t="s">
        <v>458</v>
      </c>
      <c r="F31" s="7" t="s">
        <v>213</v>
      </c>
      <c r="G31" s="7" t="s">
        <v>214</v>
      </c>
      <c r="H31" s="7"/>
      <c r="I31" s="7" t="s">
        <v>215</v>
      </c>
      <c r="J31" s="7" t="s">
        <v>216</v>
      </c>
      <c r="K31" s="1">
        <v>0.84</v>
      </c>
      <c r="L31" s="6">
        <v>0</v>
      </c>
      <c r="M31" s="6">
        <v>0</v>
      </c>
      <c r="N31" s="6">
        <v>0.84</v>
      </c>
      <c r="O31" s="6">
        <v>0</v>
      </c>
      <c r="P31" s="6">
        <v>0</v>
      </c>
      <c r="Q31" s="1">
        <f t="shared" si="2"/>
        <v>4.2</v>
      </c>
      <c r="R31" s="47">
        <v>0.76</v>
      </c>
      <c r="S31" s="51">
        <v>0.1</v>
      </c>
      <c r="T31" s="1">
        <f t="shared" si="3"/>
        <v>0.31920000000000004</v>
      </c>
      <c r="U31" s="30">
        <f t="shared" si="0"/>
        <v>1.6137223983455232E-4</v>
      </c>
      <c r="V31" s="8">
        <v>0</v>
      </c>
      <c r="W31" s="8">
        <f t="shared" si="1"/>
        <v>60.76860531243782</v>
      </c>
      <c r="X31" s="31">
        <f t="shared" si="4"/>
        <v>60.76860531243782</v>
      </c>
    </row>
    <row r="32" spans="1:24">
      <c r="A32" s="7" t="s">
        <v>461</v>
      </c>
      <c r="B32" s="7" t="s">
        <v>445</v>
      </c>
      <c r="C32" s="7" t="s">
        <v>462</v>
      </c>
      <c r="D32" s="7"/>
      <c r="E32" s="7" t="s">
        <v>463</v>
      </c>
      <c r="F32" s="7" t="s">
        <v>464</v>
      </c>
      <c r="G32" s="7" t="s">
        <v>465</v>
      </c>
      <c r="H32" s="7"/>
      <c r="I32" s="7" t="s">
        <v>466</v>
      </c>
      <c r="J32" s="7" t="s">
        <v>467</v>
      </c>
      <c r="K32" s="1">
        <v>4.8869999999999996</v>
      </c>
      <c r="L32" s="6">
        <v>4.8869999999999996</v>
      </c>
      <c r="M32" s="6">
        <v>0</v>
      </c>
      <c r="N32" s="6">
        <v>0</v>
      </c>
      <c r="O32" s="6">
        <v>0</v>
      </c>
      <c r="P32" s="6">
        <v>0</v>
      </c>
      <c r="Q32" s="1">
        <f t="shared" si="2"/>
        <v>24.434999999999999</v>
      </c>
      <c r="R32" s="47">
        <v>0.76</v>
      </c>
      <c r="S32" s="51">
        <v>0.6</v>
      </c>
      <c r="T32" s="1">
        <f t="shared" si="3"/>
        <v>11.142359999999998</v>
      </c>
      <c r="U32" s="30">
        <f t="shared" si="0"/>
        <v>5.6330438290818352E-3</v>
      </c>
      <c r="V32" s="8">
        <v>0</v>
      </c>
      <c r="W32" s="8">
        <f t="shared" si="1"/>
        <v>2121.2583868705965</v>
      </c>
      <c r="X32" s="31">
        <f t="shared" si="4"/>
        <v>2121.2583868705965</v>
      </c>
    </row>
    <row r="33" spans="1:24">
      <c r="A33" s="7" t="s">
        <v>468</v>
      </c>
      <c r="B33" s="7" t="s">
        <v>469</v>
      </c>
      <c r="C33" s="7" t="s">
        <v>470</v>
      </c>
      <c r="D33" s="7" t="s">
        <v>471</v>
      </c>
      <c r="E33" s="7" t="s">
        <v>469</v>
      </c>
      <c r="F33" s="7" t="s">
        <v>213</v>
      </c>
      <c r="G33" s="7" t="s">
        <v>472</v>
      </c>
      <c r="H33" s="7" t="s">
        <v>473</v>
      </c>
      <c r="I33" s="7" t="s">
        <v>474</v>
      </c>
      <c r="J33" s="7" t="s">
        <v>340</v>
      </c>
      <c r="K33" s="1">
        <v>0.94399999999999995</v>
      </c>
      <c r="L33" s="6">
        <v>0</v>
      </c>
      <c r="M33" s="6">
        <v>0.5</v>
      </c>
      <c r="N33" s="6">
        <v>0.44400000000000001</v>
      </c>
      <c r="O33" s="6">
        <v>0</v>
      </c>
      <c r="P33" s="6">
        <v>0</v>
      </c>
      <c r="Q33" s="1">
        <f t="shared" si="2"/>
        <v>42.22</v>
      </c>
      <c r="R33" s="47">
        <v>0.76</v>
      </c>
      <c r="S33" s="51">
        <v>0.1</v>
      </c>
      <c r="T33" s="1">
        <f t="shared" si="3"/>
        <v>3.2087200000000005</v>
      </c>
      <c r="U33" s="30">
        <f t="shared" si="0"/>
        <v>1.6221752299559044E-3</v>
      </c>
      <c r="V33" s="8">
        <v>0</v>
      </c>
      <c r="W33" s="8">
        <f t="shared" si="1"/>
        <v>610.86917054550588</v>
      </c>
      <c r="X33" s="31">
        <f t="shared" si="4"/>
        <v>610.86917054550588</v>
      </c>
    </row>
    <row r="34" spans="1:24">
      <c r="A34" s="7" t="s">
        <v>475</v>
      </c>
      <c r="B34" s="7" t="s">
        <v>476</v>
      </c>
      <c r="C34" s="7" t="s">
        <v>477</v>
      </c>
      <c r="D34" s="7" t="s">
        <v>478</v>
      </c>
      <c r="E34" s="7" t="s">
        <v>476</v>
      </c>
      <c r="F34" s="7" t="s">
        <v>213</v>
      </c>
      <c r="G34" s="7" t="s">
        <v>479</v>
      </c>
      <c r="H34" s="7" t="s">
        <v>480</v>
      </c>
      <c r="I34" s="7" t="s">
        <v>481</v>
      </c>
      <c r="J34" s="7" t="s">
        <v>443</v>
      </c>
      <c r="K34" s="1">
        <v>4.7839999999999998</v>
      </c>
      <c r="L34" s="6">
        <v>1.6</v>
      </c>
      <c r="M34" s="6">
        <v>0.5</v>
      </c>
      <c r="N34" s="6">
        <f>K34-2.1</f>
        <v>2.6839999999999997</v>
      </c>
      <c r="O34" s="6">
        <v>0</v>
      </c>
      <c r="P34" s="6">
        <v>0</v>
      </c>
      <c r="Q34" s="1">
        <f t="shared" si="2"/>
        <v>61.42</v>
      </c>
      <c r="R34" s="47">
        <v>0.76</v>
      </c>
      <c r="S34" s="51">
        <v>0.5</v>
      </c>
      <c r="T34" s="1">
        <f t="shared" si="3"/>
        <v>23.339600000000001</v>
      </c>
      <c r="U34" s="30">
        <f t="shared" si="0"/>
        <v>1.1799384488855003E-2</v>
      </c>
      <c r="V34" s="8">
        <v>0</v>
      </c>
      <c r="W34" s="8">
        <f t="shared" si="1"/>
        <v>4443.3425455832503</v>
      </c>
      <c r="X34" s="31">
        <f t="shared" si="4"/>
        <v>4443.3425455832503</v>
      </c>
    </row>
    <row r="35" spans="1:24">
      <c r="A35" s="7" t="s">
        <v>482</v>
      </c>
      <c r="B35" s="7" t="s">
        <v>445</v>
      </c>
      <c r="C35" s="7" t="s">
        <v>483</v>
      </c>
      <c r="D35" s="7"/>
      <c r="E35" s="7" t="s">
        <v>364</v>
      </c>
      <c r="F35" s="7" t="s">
        <v>213</v>
      </c>
      <c r="G35" s="7" t="s">
        <v>484</v>
      </c>
      <c r="H35" s="7"/>
      <c r="I35" s="7" t="s">
        <v>485</v>
      </c>
      <c r="J35" s="7" t="s">
        <v>486</v>
      </c>
      <c r="K35" s="1">
        <v>4.7030000000000003</v>
      </c>
      <c r="L35" s="6">
        <v>4.7030000000000003</v>
      </c>
      <c r="M35" s="6">
        <v>0</v>
      </c>
      <c r="N35" s="6">
        <v>0</v>
      </c>
      <c r="O35" s="6">
        <v>0</v>
      </c>
      <c r="P35" s="6">
        <v>0</v>
      </c>
      <c r="Q35" s="1">
        <f t="shared" si="2"/>
        <v>23.515000000000001</v>
      </c>
      <c r="R35" s="47">
        <v>0.76</v>
      </c>
      <c r="S35" s="51">
        <v>0.5</v>
      </c>
      <c r="T35" s="1">
        <f t="shared" si="3"/>
        <v>8.9357000000000006</v>
      </c>
      <c r="U35" s="30">
        <f t="shared" ref="U35:U62" si="5">T35/T$70</f>
        <v>4.5174621663208302E-3</v>
      </c>
      <c r="V35" s="8">
        <v>0</v>
      </c>
      <c r="W35" s="8">
        <f t="shared" ref="W35:W62" si="6">U35*W$63</f>
        <v>1701.1592308594943</v>
      </c>
      <c r="X35" s="31">
        <f t="shared" si="4"/>
        <v>1701.1592308594943</v>
      </c>
    </row>
    <row r="36" spans="1:24">
      <c r="A36" s="7" t="s">
        <v>487</v>
      </c>
      <c r="B36" s="7" t="s">
        <v>445</v>
      </c>
      <c r="C36" s="7" t="s">
        <v>462</v>
      </c>
      <c r="D36" s="7"/>
      <c r="E36" s="7" t="s">
        <v>463</v>
      </c>
      <c r="F36" s="7" t="s">
        <v>464</v>
      </c>
      <c r="G36" s="7" t="s">
        <v>465</v>
      </c>
      <c r="H36" s="7"/>
      <c r="I36" s="7" t="s">
        <v>466</v>
      </c>
      <c r="J36" s="7" t="s">
        <v>467</v>
      </c>
      <c r="K36" s="1">
        <v>4.8289999999999997</v>
      </c>
      <c r="L36" s="6">
        <v>4.8289999999999997</v>
      </c>
      <c r="M36" s="6">
        <v>0</v>
      </c>
      <c r="N36" s="6">
        <v>0</v>
      </c>
      <c r="O36" s="6">
        <v>0</v>
      </c>
      <c r="P36" s="6">
        <v>0</v>
      </c>
      <c r="Q36" s="1">
        <f t="shared" si="2"/>
        <v>24.145</v>
      </c>
      <c r="R36" s="47">
        <v>0.76</v>
      </c>
      <c r="S36" s="51">
        <v>0.7</v>
      </c>
      <c r="T36" s="1">
        <f t="shared" si="3"/>
        <v>12.845140000000001</v>
      </c>
      <c r="U36" s="30">
        <f t="shared" si="5"/>
        <v>6.4938878846754417E-3</v>
      </c>
      <c r="V36" s="8">
        <v>0</v>
      </c>
      <c r="W36" s="8">
        <f t="shared" si="6"/>
        <v>2445.4299587813516</v>
      </c>
      <c r="X36" s="31">
        <f t="shared" si="4"/>
        <v>2445.4299587813516</v>
      </c>
    </row>
    <row r="37" spans="1:24">
      <c r="A37" s="7" t="s">
        <v>488</v>
      </c>
      <c r="B37" s="7" t="s">
        <v>489</v>
      </c>
      <c r="C37" s="7" t="s">
        <v>490</v>
      </c>
      <c r="D37" s="7"/>
      <c r="E37" s="7" t="s">
        <v>489</v>
      </c>
      <c r="F37" s="7" t="s">
        <v>491</v>
      </c>
      <c r="G37" s="7" t="s">
        <v>492</v>
      </c>
      <c r="H37" s="7"/>
      <c r="I37" s="7" t="s">
        <v>493</v>
      </c>
      <c r="J37" s="7" t="s">
        <v>456</v>
      </c>
      <c r="K37" s="1">
        <v>5.306</v>
      </c>
      <c r="L37" s="6">
        <f>K37-1.5</f>
        <v>3.806</v>
      </c>
      <c r="M37" s="6">
        <v>0.5</v>
      </c>
      <c r="N37" s="6">
        <v>1</v>
      </c>
      <c r="O37" s="6">
        <v>0</v>
      </c>
      <c r="P37" s="6">
        <v>0</v>
      </c>
      <c r="Q37" s="1">
        <f t="shared" si="2"/>
        <v>64.03</v>
      </c>
      <c r="R37" s="47">
        <v>0.76</v>
      </c>
      <c r="S37" s="51">
        <v>0.3</v>
      </c>
      <c r="T37" s="1">
        <f t="shared" si="3"/>
        <v>14.598840000000001</v>
      </c>
      <c r="U37" s="30">
        <f t="shared" si="5"/>
        <v>7.3804746547188457E-3</v>
      </c>
      <c r="V37" s="8">
        <v>0</v>
      </c>
      <c r="W37" s="8">
        <f t="shared" si="6"/>
        <v>2779.295570110995</v>
      </c>
      <c r="X37" s="31">
        <f t="shared" si="4"/>
        <v>2779.295570110995</v>
      </c>
    </row>
    <row r="38" spans="1:24">
      <c r="A38" s="7" t="s">
        <v>494</v>
      </c>
      <c r="B38" s="7" t="s">
        <v>218</v>
      </c>
      <c r="C38" s="7" t="s">
        <v>495</v>
      </c>
      <c r="D38" s="7" t="s">
        <v>496</v>
      </c>
      <c r="E38" s="7" t="s">
        <v>497</v>
      </c>
      <c r="F38" s="7" t="s">
        <v>213</v>
      </c>
      <c r="G38" s="7" t="s">
        <v>498</v>
      </c>
      <c r="H38" s="7" t="s">
        <v>499</v>
      </c>
      <c r="I38" s="7" t="s">
        <v>500</v>
      </c>
      <c r="J38" s="7" t="s">
        <v>501</v>
      </c>
      <c r="K38" s="10">
        <v>18.242000000000001</v>
      </c>
      <c r="L38" s="6">
        <v>18.242000000000001</v>
      </c>
      <c r="M38" s="6">
        <v>0</v>
      </c>
      <c r="N38" s="6">
        <v>0</v>
      </c>
      <c r="O38" s="6">
        <v>0</v>
      </c>
      <c r="P38" s="6">
        <v>0</v>
      </c>
      <c r="Q38" s="1">
        <f t="shared" si="2"/>
        <v>91.210000000000008</v>
      </c>
      <c r="R38" s="47">
        <v>1</v>
      </c>
      <c r="S38" s="51">
        <v>1</v>
      </c>
      <c r="T38" s="1">
        <f t="shared" si="3"/>
        <v>91.210000000000008</v>
      </c>
      <c r="U38" s="30">
        <f t="shared" si="5"/>
        <v>4.6111409759741588E-2</v>
      </c>
      <c r="V38" s="8">
        <v>0</v>
      </c>
      <c r="W38" s="8">
        <f t="shared" si="6"/>
        <v>17364.362439058437</v>
      </c>
      <c r="X38" s="31">
        <f t="shared" si="4"/>
        <v>17364.362439058437</v>
      </c>
    </row>
    <row r="39" spans="1:24">
      <c r="A39" s="7" t="s">
        <v>502</v>
      </c>
      <c r="B39" s="7" t="s">
        <v>503</v>
      </c>
      <c r="C39" s="7" t="s">
        <v>504</v>
      </c>
      <c r="D39" s="7" t="s">
        <v>505</v>
      </c>
      <c r="E39" s="7" t="s">
        <v>503</v>
      </c>
      <c r="F39" s="7" t="s">
        <v>213</v>
      </c>
      <c r="G39" s="7" t="s">
        <v>506</v>
      </c>
      <c r="H39" s="7"/>
      <c r="I39" s="7" t="s">
        <v>507</v>
      </c>
      <c r="J39" s="7" t="s">
        <v>340</v>
      </c>
      <c r="K39" s="1">
        <v>11.593</v>
      </c>
      <c r="L39" s="6">
        <v>9.5</v>
      </c>
      <c r="M39" s="6">
        <v>0.5</v>
      </c>
      <c r="N39" s="6">
        <v>1.593</v>
      </c>
      <c r="O39" s="6">
        <v>0</v>
      </c>
      <c r="P39" s="6"/>
      <c r="Q39" s="1">
        <f t="shared" si="2"/>
        <v>95.465000000000003</v>
      </c>
      <c r="R39" s="47">
        <v>0.76</v>
      </c>
      <c r="S39" s="51">
        <v>0.2</v>
      </c>
      <c r="T39" s="1">
        <f t="shared" si="3"/>
        <v>14.510680000000001</v>
      </c>
      <c r="U39" s="30">
        <f t="shared" si="5"/>
        <v>7.3359051789550168E-3</v>
      </c>
      <c r="V39" s="8">
        <v>0</v>
      </c>
      <c r="W39" s="8">
        <f t="shared" si="6"/>
        <v>2762.5118600723217</v>
      </c>
      <c r="X39" s="31">
        <f t="shared" si="4"/>
        <v>2762.5118600723217</v>
      </c>
    </row>
    <row r="40" spans="1:24">
      <c r="A40" s="7" t="s">
        <v>508</v>
      </c>
      <c r="B40" s="7" t="s">
        <v>509</v>
      </c>
      <c r="C40" s="7" t="s">
        <v>510</v>
      </c>
      <c r="D40" s="7" t="s">
        <v>511</v>
      </c>
      <c r="E40" s="7" t="s">
        <v>509</v>
      </c>
      <c r="F40" s="7" t="s">
        <v>213</v>
      </c>
      <c r="G40" s="7" t="s">
        <v>214</v>
      </c>
      <c r="H40" s="7"/>
      <c r="I40" s="7" t="s">
        <v>215</v>
      </c>
      <c r="J40" s="7" t="s">
        <v>216</v>
      </c>
      <c r="K40" s="1">
        <v>2.96</v>
      </c>
      <c r="L40" s="6">
        <v>0</v>
      </c>
      <c r="M40" s="6">
        <v>0.5</v>
      </c>
      <c r="N40" s="6">
        <v>2.46</v>
      </c>
      <c r="O40" s="6">
        <v>0</v>
      </c>
      <c r="P40" s="6">
        <v>0</v>
      </c>
      <c r="Q40" s="1">
        <f t="shared" si="2"/>
        <v>52.3</v>
      </c>
      <c r="R40" s="47">
        <v>0.76</v>
      </c>
      <c r="S40" s="51">
        <v>0.2</v>
      </c>
      <c r="T40" s="1">
        <f t="shared" si="3"/>
        <v>7.9496000000000002</v>
      </c>
      <c r="U40" s="30">
        <f t="shared" si="5"/>
        <v>4.0189372111176591E-3</v>
      </c>
      <c r="V40" s="8">
        <v>0</v>
      </c>
      <c r="W40" s="8">
        <f t="shared" si="6"/>
        <v>1513.427646590713</v>
      </c>
      <c r="X40" s="31">
        <f t="shared" si="4"/>
        <v>1513.427646590713</v>
      </c>
    </row>
    <row r="41" spans="1:24">
      <c r="A41" s="7" t="s">
        <v>512</v>
      </c>
      <c r="B41" s="7" t="s">
        <v>513</v>
      </c>
      <c r="C41" s="7" t="s">
        <v>514</v>
      </c>
      <c r="D41" s="7" t="s">
        <v>515</v>
      </c>
      <c r="E41" s="7" t="s">
        <v>513</v>
      </c>
      <c r="F41" s="7" t="s">
        <v>213</v>
      </c>
      <c r="G41" s="7" t="s">
        <v>214</v>
      </c>
      <c r="H41" s="7"/>
      <c r="I41" s="7" t="s">
        <v>215</v>
      </c>
      <c r="J41" s="7" t="s">
        <v>216</v>
      </c>
      <c r="K41" s="10">
        <v>4.9030000000000005</v>
      </c>
      <c r="L41" s="6">
        <v>0</v>
      </c>
      <c r="M41" s="6">
        <v>0.5</v>
      </c>
      <c r="N41" s="6">
        <v>4.4029999999999996</v>
      </c>
      <c r="O41" s="6">
        <v>0</v>
      </c>
      <c r="P41" s="6">
        <v>0</v>
      </c>
      <c r="Q41" s="1">
        <f t="shared" si="2"/>
        <v>62.015000000000001</v>
      </c>
      <c r="R41" s="47">
        <v>0.76</v>
      </c>
      <c r="S41" s="51">
        <v>0.5</v>
      </c>
      <c r="T41" s="1">
        <f t="shared" si="3"/>
        <v>23.5657</v>
      </c>
      <c r="U41" s="30">
        <f t="shared" si="5"/>
        <v>1.1913689825404476E-2</v>
      </c>
      <c r="V41" s="8">
        <v>0</v>
      </c>
      <c r="W41" s="8">
        <f t="shared" si="6"/>
        <v>4486.3869743462265</v>
      </c>
      <c r="X41" s="31">
        <f t="shared" si="4"/>
        <v>4486.3869743462265</v>
      </c>
    </row>
    <row r="42" spans="1:24">
      <c r="A42" s="7" t="s">
        <v>516</v>
      </c>
      <c r="B42" s="7" t="s">
        <v>517</v>
      </c>
      <c r="C42" s="7" t="s">
        <v>518</v>
      </c>
      <c r="D42" s="7"/>
      <c r="E42" s="7" t="s">
        <v>517</v>
      </c>
      <c r="F42" s="7" t="s">
        <v>213</v>
      </c>
      <c r="G42" s="7" t="s">
        <v>214</v>
      </c>
      <c r="H42" s="7"/>
      <c r="I42" s="7" t="s">
        <v>215</v>
      </c>
      <c r="J42" s="7" t="s">
        <v>216</v>
      </c>
      <c r="K42" s="10">
        <v>1.3919999999999999</v>
      </c>
      <c r="L42" s="6">
        <v>0</v>
      </c>
      <c r="M42" s="6">
        <v>0.5</v>
      </c>
      <c r="N42" s="11">
        <f>K42-0.5</f>
        <v>0.8919999999999999</v>
      </c>
      <c r="O42" s="6">
        <v>0</v>
      </c>
      <c r="P42" s="6">
        <v>0</v>
      </c>
      <c r="Q42" s="1">
        <f t="shared" si="2"/>
        <v>44.46</v>
      </c>
      <c r="R42" s="47">
        <v>0.76</v>
      </c>
      <c r="S42" s="51">
        <v>0.7</v>
      </c>
      <c r="T42" s="1">
        <f t="shared" si="3"/>
        <v>23.652719999999999</v>
      </c>
      <c r="U42" s="30">
        <f t="shared" si="5"/>
        <v>1.1957682971740324E-2</v>
      </c>
      <c r="V42" s="8">
        <v>0</v>
      </c>
      <c r="W42" s="8">
        <f t="shared" si="6"/>
        <v>4502.9536536516416</v>
      </c>
      <c r="X42" s="31">
        <f t="shared" si="4"/>
        <v>4502.9536536516416</v>
      </c>
    </row>
    <row r="43" spans="1:24">
      <c r="A43" s="7" t="s">
        <v>519</v>
      </c>
      <c r="B43" s="7" t="s">
        <v>520</v>
      </c>
      <c r="C43" s="7" t="s">
        <v>521</v>
      </c>
      <c r="D43" s="7"/>
      <c r="E43" s="7" t="s">
        <v>520</v>
      </c>
      <c r="F43" s="7" t="s">
        <v>213</v>
      </c>
      <c r="G43" s="7" t="s">
        <v>243</v>
      </c>
      <c r="H43" s="7"/>
      <c r="I43" s="7" t="s">
        <v>244</v>
      </c>
      <c r="J43" s="7" t="s">
        <v>245</v>
      </c>
      <c r="K43" s="10">
        <v>4.7790000000000008</v>
      </c>
      <c r="L43" s="6">
        <v>0</v>
      </c>
      <c r="M43" s="6">
        <v>0.5</v>
      </c>
      <c r="N43" s="6">
        <v>4.2789999999999999</v>
      </c>
      <c r="O43" s="6">
        <v>0</v>
      </c>
      <c r="P43" s="6">
        <v>0</v>
      </c>
      <c r="Q43" s="1">
        <f t="shared" si="2"/>
        <v>61.394999999999996</v>
      </c>
      <c r="R43" s="47">
        <v>0.76</v>
      </c>
      <c r="S43" s="51">
        <v>0.6</v>
      </c>
      <c r="T43" s="1">
        <f t="shared" si="3"/>
        <v>27.996119999999998</v>
      </c>
      <c r="U43" s="30">
        <f t="shared" si="5"/>
        <v>1.4153498092346195E-2</v>
      </c>
      <c r="V43" s="8">
        <v>0</v>
      </c>
      <c r="W43" s="8">
        <f t="shared" si="6"/>
        <v>5329.8407473673124</v>
      </c>
      <c r="X43" s="31">
        <f t="shared" si="4"/>
        <v>5329.8407473673124</v>
      </c>
    </row>
    <row r="44" spans="1:24">
      <c r="A44" s="7" t="s">
        <v>522</v>
      </c>
      <c r="B44" s="7" t="s">
        <v>523</v>
      </c>
      <c r="C44" s="7" t="s">
        <v>524</v>
      </c>
      <c r="D44" s="7" t="s">
        <v>525</v>
      </c>
      <c r="E44" s="7" t="s">
        <v>523</v>
      </c>
      <c r="F44" s="7" t="s">
        <v>380</v>
      </c>
      <c r="G44" s="7" t="s">
        <v>214</v>
      </c>
      <c r="H44" s="7"/>
      <c r="I44" s="7" t="s">
        <v>215</v>
      </c>
      <c r="J44" s="7" t="s">
        <v>216</v>
      </c>
      <c r="K44" s="10">
        <v>1.415</v>
      </c>
      <c r="L44" s="6">
        <v>0</v>
      </c>
      <c r="M44" s="6">
        <v>0.5</v>
      </c>
      <c r="N44" s="11">
        <f>K44-0.5</f>
        <v>0.91500000000000004</v>
      </c>
      <c r="O44" s="6">
        <v>0</v>
      </c>
      <c r="P44" s="6">
        <v>0</v>
      </c>
      <c r="Q44" s="1">
        <f t="shared" si="2"/>
        <v>44.575000000000003</v>
      </c>
      <c r="R44" s="47">
        <v>0.76</v>
      </c>
      <c r="S44" s="51">
        <v>0.6</v>
      </c>
      <c r="T44" s="1">
        <f t="shared" si="3"/>
        <v>20.3262</v>
      </c>
      <c r="U44" s="30">
        <f t="shared" si="5"/>
        <v>1.0275953700893098E-2</v>
      </c>
      <c r="V44" s="8">
        <v>0</v>
      </c>
      <c r="W44" s="8">
        <f t="shared" si="6"/>
        <v>3869.6579740027364</v>
      </c>
      <c r="X44" s="31">
        <f t="shared" si="4"/>
        <v>3869.6579740027364</v>
      </c>
    </row>
    <row r="45" spans="1:24">
      <c r="A45" s="7" t="s">
        <v>526</v>
      </c>
      <c r="B45" s="7" t="s">
        <v>527</v>
      </c>
      <c r="C45" s="7" t="s">
        <v>528</v>
      </c>
      <c r="D45" s="7" t="s">
        <v>529</v>
      </c>
      <c r="E45" s="7" t="s">
        <v>527</v>
      </c>
      <c r="F45" s="7" t="s">
        <v>530</v>
      </c>
      <c r="G45" s="7" t="s">
        <v>531</v>
      </c>
      <c r="H45" s="7" t="s">
        <v>532</v>
      </c>
      <c r="I45" s="7" t="s">
        <v>533</v>
      </c>
      <c r="J45" s="7" t="s">
        <v>443</v>
      </c>
      <c r="K45" s="1">
        <v>4.88</v>
      </c>
      <c r="L45" s="6">
        <v>1.5</v>
      </c>
      <c r="M45" s="6">
        <v>0.5</v>
      </c>
      <c r="N45" s="6">
        <v>2.88</v>
      </c>
      <c r="O45" s="6">
        <v>0</v>
      </c>
      <c r="P45" s="6">
        <v>0</v>
      </c>
      <c r="Q45" s="1">
        <f t="shared" si="2"/>
        <v>61.9</v>
      </c>
      <c r="R45" s="47">
        <v>0.76</v>
      </c>
      <c r="S45" s="51">
        <v>0.7</v>
      </c>
      <c r="T45" s="1">
        <f t="shared" si="3"/>
        <v>32.930799999999998</v>
      </c>
      <c r="U45" s="30">
        <f t="shared" si="5"/>
        <v>1.6648236076264644E-2</v>
      </c>
      <c r="V45" s="8">
        <v>0</v>
      </c>
      <c r="W45" s="8">
        <f t="shared" si="6"/>
        <v>6269.2944480665001</v>
      </c>
      <c r="X45" s="31">
        <f t="shared" si="4"/>
        <v>6269.2944480665001</v>
      </c>
    </row>
    <row r="46" spans="1:24">
      <c r="A46" s="7" t="s">
        <v>534</v>
      </c>
      <c r="B46" s="7" t="s">
        <v>535</v>
      </c>
      <c r="C46" s="7" t="s">
        <v>536</v>
      </c>
      <c r="D46" s="7" t="s">
        <v>537</v>
      </c>
      <c r="E46" s="7"/>
      <c r="F46" s="7"/>
      <c r="G46" s="7" t="s">
        <v>538</v>
      </c>
      <c r="H46" s="7"/>
      <c r="I46" s="7" t="s">
        <v>539</v>
      </c>
      <c r="J46" s="7" t="s">
        <v>384</v>
      </c>
      <c r="K46" s="10">
        <v>12.126000000000001</v>
      </c>
      <c r="L46" s="6">
        <v>8.89</v>
      </c>
      <c r="M46" s="6">
        <v>0.5</v>
      </c>
      <c r="N46" s="11">
        <f>K46-8.89-0.5</f>
        <v>2.7360000000000007</v>
      </c>
      <c r="O46" s="6">
        <v>0</v>
      </c>
      <c r="P46" s="6">
        <v>0</v>
      </c>
      <c r="Q46" s="1">
        <f t="shared" si="2"/>
        <v>98.13000000000001</v>
      </c>
      <c r="R46" s="47">
        <v>0.85</v>
      </c>
      <c r="S46" s="51">
        <v>0.8</v>
      </c>
      <c r="T46" s="1">
        <f t="shared" si="3"/>
        <v>66.728400000000008</v>
      </c>
      <c r="U46" s="30">
        <f t="shared" si="5"/>
        <v>3.373468473864643E-2</v>
      </c>
      <c r="V46" s="8">
        <v>0</v>
      </c>
      <c r="W46" s="8">
        <f t="shared" si="6"/>
        <v>12703.608404544097</v>
      </c>
      <c r="X46" s="31">
        <f t="shared" si="4"/>
        <v>12703.608404544097</v>
      </c>
    </row>
    <row r="47" spans="1:24">
      <c r="A47" s="7" t="s">
        <v>540</v>
      </c>
      <c r="B47" s="7" t="s">
        <v>541</v>
      </c>
      <c r="C47" s="7" t="s">
        <v>542</v>
      </c>
      <c r="D47" s="7" t="s">
        <v>543</v>
      </c>
      <c r="E47" s="7" t="s">
        <v>541</v>
      </c>
      <c r="F47" s="7" t="s">
        <v>326</v>
      </c>
      <c r="G47" s="7" t="s">
        <v>544</v>
      </c>
      <c r="H47" s="7"/>
      <c r="I47" s="7" t="s">
        <v>545</v>
      </c>
      <c r="J47" s="7" t="s">
        <v>340</v>
      </c>
      <c r="K47" s="1">
        <v>4.8470000000000004</v>
      </c>
      <c r="L47" s="6">
        <v>0</v>
      </c>
      <c r="M47" s="6">
        <v>0.5</v>
      </c>
      <c r="N47" s="6">
        <v>4.3470000000000004</v>
      </c>
      <c r="O47" s="6">
        <v>0</v>
      </c>
      <c r="P47" s="6">
        <v>0</v>
      </c>
      <c r="Q47" s="1">
        <f t="shared" si="2"/>
        <v>61.734999999999999</v>
      </c>
      <c r="R47" s="47">
        <v>0.76</v>
      </c>
      <c r="S47" s="51">
        <v>0.5</v>
      </c>
      <c r="T47" s="1">
        <f t="shared" si="3"/>
        <v>23.459299999999999</v>
      </c>
      <c r="U47" s="30">
        <f t="shared" si="5"/>
        <v>1.1859899078792958E-2</v>
      </c>
      <c r="V47" s="8">
        <v>0</v>
      </c>
      <c r="W47" s="8">
        <f t="shared" si="6"/>
        <v>4466.1307725754141</v>
      </c>
      <c r="X47" s="31">
        <f t="shared" si="4"/>
        <v>4466.1307725754141</v>
      </c>
    </row>
    <row r="48" spans="1:24">
      <c r="A48" s="7" t="s">
        <v>546</v>
      </c>
      <c r="B48" s="7" t="s">
        <v>547</v>
      </c>
      <c r="C48" s="7" t="s">
        <v>548</v>
      </c>
      <c r="D48" s="7" t="s">
        <v>549</v>
      </c>
      <c r="E48" s="7" t="s">
        <v>547</v>
      </c>
      <c r="F48" s="7" t="s">
        <v>213</v>
      </c>
      <c r="G48" s="7" t="s">
        <v>214</v>
      </c>
      <c r="H48" s="7"/>
      <c r="I48" s="7" t="s">
        <v>215</v>
      </c>
      <c r="J48" s="7" t="s">
        <v>216</v>
      </c>
      <c r="K48" s="10">
        <v>8.0170000000000012</v>
      </c>
      <c r="L48" s="6">
        <v>0</v>
      </c>
      <c r="M48" s="6">
        <v>0.5</v>
      </c>
      <c r="N48" s="11">
        <f>K48-0.5</f>
        <v>7.5170000000000012</v>
      </c>
      <c r="O48" s="6">
        <v>0</v>
      </c>
      <c r="P48" s="6">
        <v>0</v>
      </c>
      <c r="Q48" s="1">
        <f t="shared" si="2"/>
        <v>77.585000000000008</v>
      </c>
      <c r="R48" s="47">
        <v>0.76</v>
      </c>
      <c r="S48" s="51">
        <v>0.4</v>
      </c>
      <c r="T48" s="1">
        <f t="shared" si="3"/>
        <v>23.585840000000005</v>
      </c>
      <c r="U48" s="30">
        <f t="shared" si="5"/>
        <v>1.1923871645298801E-2</v>
      </c>
      <c r="V48" s="8">
        <v>0</v>
      </c>
      <c r="W48" s="8">
        <f t="shared" si="6"/>
        <v>4490.2211839671318</v>
      </c>
      <c r="X48" s="31">
        <f t="shared" si="4"/>
        <v>4490.2211839671318</v>
      </c>
    </row>
    <row r="49" spans="1:24">
      <c r="A49" s="7" t="s">
        <v>550</v>
      </c>
      <c r="B49" s="7" t="s">
        <v>445</v>
      </c>
      <c r="C49" s="7" t="s">
        <v>232</v>
      </c>
      <c r="D49" s="7" t="s">
        <v>233</v>
      </c>
      <c r="E49" s="7" t="s">
        <v>231</v>
      </c>
      <c r="F49" s="7" t="s">
        <v>326</v>
      </c>
      <c r="G49" s="7" t="s">
        <v>551</v>
      </c>
      <c r="H49" s="7"/>
      <c r="I49" s="7" t="s">
        <v>236</v>
      </c>
      <c r="J49" s="7" t="s">
        <v>237</v>
      </c>
      <c r="K49" s="1">
        <v>9.8510000000000009</v>
      </c>
      <c r="L49" s="6">
        <v>9.8510000000000009</v>
      </c>
      <c r="M49" s="6">
        <v>0</v>
      </c>
      <c r="N49" s="6">
        <v>0</v>
      </c>
      <c r="O49" s="6">
        <v>0</v>
      </c>
      <c r="P49" s="6">
        <v>0</v>
      </c>
      <c r="Q49" s="1">
        <f t="shared" si="2"/>
        <v>49.255000000000003</v>
      </c>
      <c r="R49" s="47">
        <v>0.76</v>
      </c>
      <c r="S49" s="51">
        <v>0.4</v>
      </c>
      <c r="T49" s="1">
        <f t="shared" si="3"/>
        <v>14.973520000000002</v>
      </c>
      <c r="U49" s="30">
        <f t="shared" si="5"/>
        <v>7.5698949267151185E-3</v>
      </c>
      <c r="V49" s="8">
        <v>0</v>
      </c>
      <c r="W49" s="8">
        <f t="shared" si="6"/>
        <v>2850.6263377753571</v>
      </c>
      <c r="X49" s="31">
        <f t="shared" si="4"/>
        <v>2850.6263377753571</v>
      </c>
    </row>
    <row r="50" spans="1:24">
      <c r="A50" s="7" t="s">
        <v>552</v>
      </c>
      <c r="B50" s="7" t="s">
        <v>553</v>
      </c>
      <c r="C50" s="7" t="s">
        <v>554</v>
      </c>
      <c r="D50" s="7" t="s">
        <v>555</v>
      </c>
      <c r="E50" s="7" t="s">
        <v>556</v>
      </c>
      <c r="F50" s="7" t="s">
        <v>213</v>
      </c>
      <c r="G50" s="7" t="s">
        <v>557</v>
      </c>
      <c r="H50" s="7"/>
      <c r="I50" s="7" t="s">
        <v>558</v>
      </c>
      <c r="J50" s="7" t="s">
        <v>559</v>
      </c>
      <c r="K50" s="10">
        <v>14.551</v>
      </c>
      <c r="L50" s="6">
        <v>8.5510000000000002</v>
      </c>
      <c r="M50" s="6">
        <v>0.5</v>
      </c>
      <c r="N50" s="6">
        <v>5.5</v>
      </c>
      <c r="O50" s="6">
        <v>0</v>
      </c>
      <c r="P50" s="6">
        <v>0</v>
      </c>
      <c r="Q50" s="1">
        <f t="shared" si="2"/>
        <v>110.255</v>
      </c>
      <c r="R50" s="47">
        <v>1</v>
      </c>
      <c r="S50" s="51">
        <v>0.7</v>
      </c>
      <c r="T50" s="1">
        <f t="shared" si="3"/>
        <v>77.178499999999985</v>
      </c>
      <c r="U50" s="30">
        <f t="shared" si="5"/>
        <v>3.901775505034772E-2</v>
      </c>
      <c r="V50" s="8">
        <v>0</v>
      </c>
      <c r="W50" s="8">
        <f t="shared" si="6"/>
        <v>14693.075830532522</v>
      </c>
      <c r="X50" s="31">
        <f t="shared" si="4"/>
        <v>14693.075830532522</v>
      </c>
    </row>
    <row r="51" spans="1:24">
      <c r="A51" s="7" t="s">
        <v>560</v>
      </c>
      <c r="B51" s="7" t="s">
        <v>561</v>
      </c>
      <c r="C51" s="7" t="s">
        <v>528</v>
      </c>
      <c r="D51" s="7" t="s">
        <v>529</v>
      </c>
      <c r="E51" s="7" t="s">
        <v>527</v>
      </c>
      <c r="F51" s="7" t="s">
        <v>530</v>
      </c>
      <c r="G51" s="7" t="s">
        <v>531</v>
      </c>
      <c r="H51" s="7" t="s">
        <v>532</v>
      </c>
      <c r="I51" s="7" t="s">
        <v>533</v>
      </c>
      <c r="J51" s="7" t="s">
        <v>443</v>
      </c>
      <c r="K51" s="1">
        <v>4.8819999999999997</v>
      </c>
      <c r="L51" s="6">
        <v>4.8819999999999997</v>
      </c>
      <c r="M51" s="6">
        <v>0</v>
      </c>
      <c r="N51" s="6">
        <v>0</v>
      </c>
      <c r="O51" s="6">
        <v>0</v>
      </c>
      <c r="P51" s="6">
        <v>0</v>
      </c>
      <c r="Q51" s="1">
        <f t="shared" si="2"/>
        <v>24.409999999999997</v>
      </c>
      <c r="R51" s="47">
        <v>0.76</v>
      </c>
      <c r="S51" s="51">
        <v>0.8</v>
      </c>
      <c r="T51" s="1">
        <f t="shared" si="3"/>
        <v>14.841279999999998</v>
      </c>
      <c r="U51" s="30">
        <f t="shared" si="5"/>
        <v>7.5030407130693725E-3</v>
      </c>
      <c r="V51" s="8">
        <v>0</v>
      </c>
      <c r="W51" s="8">
        <f t="shared" si="6"/>
        <v>2825.4507727173459</v>
      </c>
      <c r="X51" s="31">
        <f t="shared" si="4"/>
        <v>2825.4507727173459</v>
      </c>
    </row>
    <row r="52" spans="1:24">
      <c r="A52" s="7" t="s">
        <v>562</v>
      </c>
      <c r="B52" s="7" t="s">
        <v>563</v>
      </c>
      <c r="C52" s="7" t="s">
        <v>564</v>
      </c>
      <c r="D52" s="7" t="s">
        <v>565</v>
      </c>
      <c r="E52" s="7" t="s">
        <v>566</v>
      </c>
      <c r="F52" s="7" t="s">
        <v>567</v>
      </c>
      <c r="G52" s="7" t="s">
        <v>243</v>
      </c>
      <c r="H52" s="7"/>
      <c r="I52" s="7" t="s">
        <v>244</v>
      </c>
      <c r="J52" s="7" t="s">
        <v>245</v>
      </c>
      <c r="K52" s="1">
        <v>4.9039999999999999</v>
      </c>
      <c r="L52" s="6">
        <v>0</v>
      </c>
      <c r="M52" s="6">
        <v>0.5</v>
      </c>
      <c r="N52" s="11">
        <f>K52-0.5</f>
        <v>4.4039999999999999</v>
      </c>
      <c r="O52" s="6">
        <v>0</v>
      </c>
      <c r="P52" s="6">
        <v>0</v>
      </c>
      <c r="Q52" s="1">
        <f t="shared" si="2"/>
        <v>62.019999999999996</v>
      </c>
      <c r="R52" s="47">
        <v>0.76</v>
      </c>
      <c r="S52" s="51">
        <v>0.8</v>
      </c>
      <c r="T52" s="1">
        <f t="shared" si="3"/>
        <v>37.708159999999999</v>
      </c>
      <c r="U52" s="30">
        <f t="shared" si="5"/>
        <v>1.9063440599121777E-2</v>
      </c>
      <c r="V52" s="8">
        <v>0</v>
      </c>
      <c r="W52" s="8">
        <f t="shared" si="6"/>
        <v>7178.7979075759868</v>
      </c>
      <c r="X52" s="31">
        <f t="shared" si="4"/>
        <v>7178.7979075759868</v>
      </c>
    </row>
    <row r="53" spans="1:24">
      <c r="A53" s="7" t="s">
        <v>568</v>
      </c>
      <c r="B53" s="7" t="s">
        <v>569</v>
      </c>
      <c r="C53" s="7" t="s">
        <v>570</v>
      </c>
      <c r="D53" s="7" t="s">
        <v>571</v>
      </c>
      <c r="E53" s="7"/>
      <c r="F53" s="7"/>
      <c r="G53" s="7" t="s">
        <v>572</v>
      </c>
      <c r="H53" s="7" t="s">
        <v>573</v>
      </c>
      <c r="I53" s="7" t="s">
        <v>574</v>
      </c>
      <c r="J53" s="7" t="s">
        <v>575</v>
      </c>
      <c r="K53" s="1">
        <v>5.008</v>
      </c>
      <c r="L53" s="6">
        <v>0</v>
      </c>
      <c r="M53" s="6">
        <v>0.5</v>
      </c>
      <c r="N53" s="11">
        <f>K53-0.5</f>
        <v>4.508</v>
      </c>
      <c r="O53" s="6">
        <v>0</v>
      </c>
      <c r="P53" s="6">
        <v>0</v>
      </c>
      <c r="Q53" s="1">
        <f t="shared" si="2"/>
        <v>62.54</v>
      </c>
      <c r="R53" s="47">
        <v>0.76</v>
      </c>
      <c r="S53" s="51">
        <v>0.7</v>
      </c>
      <c r="T53" s="1">
        <f t="shared" si="3"/>
        <v>33.271279999999997</v>
      </c>
      <c r="U53" s="30">
        <f t="shared" si="5"/>
        <v>1.68203664654215E-2</v>
      </c>
      <c r="V53" s="8">
        <v>0</v>
      </c>
      <c r="W53" s="8">
        <f t="shared" si="6"/>
        <v>6334.1142937331006</v>
      </c>
      <c r="X53" s="31">
        <f t="shared" si="4"/>
        <v>6334.1142937331006</v>
      </c>
    </row>
    <row r="54" spans="1:24">
      <c r="A54" s="7" t="s">
        <v>576</v>
      </c>
      <c r="B54" s="7" t="s">
        <v>577</v>
      </c>
      <c r="C54" s="7" t="s">
        <v>578</v>
      </c>
      <c r="D54" s="7" t="s">
        <v>579</v>
      </c>
      <c r="E54" s="7" t="s">
        <v>580</v>
      </c>
      <c r="F54" s="7" t="s">
        <v>581</v>
      </c>
      <c r="G54" s="7" t="s">
        <v>582</v>
      </c>
      <c r="H54" s="7"/>
      <c r="I54" s="7" t="s">
        <v>583</v>
      </c>
      <c r="J54" s="7" t="s">
        <v>575</v>
      </c>
      <c r="K54" s="10">
        <v>4.891</v>
      </c>
      <c r="L54" s="6">
        <v>0</v>
      </c>
      <c r="M54" s="6">
        <v>0.5</v>
      </c>
      <c r="N54" s="11">
        <f>K54-0.5</f>
        <v>4.391</v>
      </c>
      <c r="O54" s="6">
        <v>0</v>
      </c>
      <c r="P54" s="6">
        <v>0</v>
      </c>
      <c r="Q54" s="1">
        <f t="shared" si="2"/>
        <v>61.954999999999998</v>
      </c>
      <c r="R54" s="47">
        <v>0.76</v>
      </c>
      <c r="S54" s="51">
        <v>0.8</v>
      </c>
      <c r="T54" s="1">
        <f t="shared" si="3"/>
        <v>37.668640000000003</v>
      </c>
      <c r="U54" s="30">
        <f t="shared" si="5"/>
        <v>1.9043461178951789E-2</v>
      </c>
      <c r="V54" s="8">
        <v>0</v>
      </c>
      <c r="W54" s="8">
        <f t="shared" si="6"/>
        <v>7171.2741754896861</v>
      </c>
      <c r="X54" s="31">
        <f t="shared" si="4"/>
        <v>7171.2741754896861</v>
      </c>
    </row>
    <row r="55" spans="1:24">
      <c r="A55" s="7" t="s">
        <v>584</v>
      </c>
      <c r="B55" s="7" t="s">
        <v>585</v>
      </c>
      <c r="C55" s="7" t="s">
        <v>586</v>
      </c>
      <c r="D55" s="7"/>
      <c r="E55" s="7" t="s">
        <v>587</v>
      </c>
      <c r="F55" s="7" t="s">
        <v>213</v>
      </c>
      <c r="G55" s="7" t="s">
        <v>588</v>
      </c>
      <c r="H55" s="7" t="s">
        <v>589</v>
      </c>
      <c r="I55" s="7" t="s">
        <v>590</v>
      </c>
      <c r="J55" s="7" t="s">
        <v>591</v>
      </c>
      <c r="K55" s="10">
        <v>3.2709999999999999</v>
      </c>
      <c r="L55" s="6">
        <v>0</v>
      </c>
      <c r="M55" s="6">
        <v>0.5</v>
      </c>
      <c r="N55" s="11">
        <f>K55-0.5</f>
        <v>2.7709999999999999</v>
      </c>
      <c r="O55" s="6">
        <v>0</v>
      </c>
      <c r="P55" s="6">
        <v>0</v>
      </c>
      <c r="Q55" s="1">
        <f t="shared" si="2"/>
        <v>53.855000000000004</v>
      </c>
      <c r="R55" s="47">
        <v>0.76</v>
      </c>
      <c r="S55" s="51">
        <v>0.9</v>
      </c>
      <c r="T55" s="1">
        <f t="shared" si="3"/>
        <v>36.836820000000003</v>
      </c>
      <c r="U55" s="30">
        <f t="shared" si="5"/>
        <v>1.8622932806335316E-2</v>
      </c>
      <c r="V55" s="8">
        <v>0</v>
      </c>
      <c r="W55" s="8">
        <f t="shared" si="6"/>
        <v>7012.9140837885825</v>
      </c>
      <c r="X55" s="31">
        <f t="shared" si="4"/>
        <v>7012.9140837885825</v>
      </c>
    </row>
    <row r="56" spans="1:24">
      <c r="A56" s="7" t="s">
        <v>592</v>
      </c>
      <c r="B56" s="7" t="s">
        <v>218</v>
      </c>
      <c r="C56" s="7" t="s">
        <v>495</v>
      </c>
      <c r="D56" s="7" t="s">
        <v>496</v>
      </c>
      <c r="E56" s="7" t="s">
        <v>593</v>
      </c>
      <c r="F56" s="7" t="s">
        <v>213</v>
      </c>
      <c r="G56" s="7" t="s">
        <v>498</v>
      </c>
      <c r="H56" s="7" t="s">
        <v>499</v>
      </c>
      <c r="I56" s="7" t="s">
        <v>500</v>
      </c>
      <c r="J56" s="7" t="s">
        <v>501</v>
      </c>
      <c r="K56" s="10">
        <v>3.3000000000000002E-2</v>
      </c>
      <c r="L56" s="6">
        <v>3.3000000000000002E-2</v>
      </c>
      <c r="M56" s="6"/>
      <c r="N56" s="6">
        <v>0</v>
      </c>
      <c r="O56" s="6">
        <v>0</v>
      </c>
      <c r="P56" s="6">
        <v>0</v>
      </c>
      <c r="Q56" s="1">
        <f t="shared" si="2"/>
        <v>0.16500000000000001</v>
      </c>
      <c r="R56" s="47">
        <v>0</v>
      </c>
      <c r="S56" s="51">
        <v>1</v>
      </c>
      <c r="T56" s="1">
        <f t="shared" si="3"/>
        <v>0</v>
      </c>
      <c r="U56" s="30">
        <f t="shared" si="5"/>
        <v>0</v>
      </c>
      <c r="V56" s="8">
        <v>0</v>
      </c>
      <c r="W56" s="8">
        <f t="shared" si="6"/>
        <v>0</v>
      </c>
      <c r="X56" s="31">
        <v>0</v>
      </c>
    </row>
    <row r="57" spans="1:24">
      <c r="A57" s="7" t="s">
        <v>594</v>
      </c>
      <c r="B57" s="7" t="s">
        <v>595</v>
      </c>
      <c r="C57" s="7" t="s">
        <v>596</v>
      </c>
      <c r="D57" s="7" t="s">
        <v>597</v>
      </c>
      <c r="E57" s="7" t="s">
        <v>595</v>
      </c>
      <c r="F57" s="7" t="s">
        <v>213</v>
      </c>
      <c r="G57" s="7" t="s">
        <v>214</v>
      </c>
      <c r="H57" s="7"/>
      <c r="I57" s="7" t="s">
        <v>215</v>
      </c>
      <c r="J57" s="7" t="s">
        <v>216</v>
      </c>
      <c r="K57" s="10">
        <v>5.0000000000000001E-3</v>
      </c>
      <c r="L57" s="6">
        <v>0</v>
      </c>
      <c r="M57" s="6">
        <v>0</v>
      </c>
      <c r="N57" s="6">
        <v>5.0000000000000001E-3</v>
      </c>
      <c r="O57" s="6">
        <v>0</v>
      </c>
      <c r="P57" s="6">
        <v>0</v>
      </c>
      <c r="Q57" s="1">
        <f t="shared" si="2"/>
        <v>2.5000000000000001E-2</v>
      </c>
      <c r="R57" s="47">
        <v>0.56999999999999995</v>
      </c>
      <c r="S57" s="51">
        <v>1</v>
      </c>
      <c r="T57" s="1">
        <f t="shared" si="3"/>
        <v>1.4249999999999999E-2</v>
      </c>
      <c r="U57" s="30">
        <f t="shared" si="5"/>
        <v>7.2041178497567977E-6</v>
      </c>
      <c r="V57" s="8">
        <v>0</v>
      </c>
      <c r="W57" s="8">
        <f t="shared" si="6"/>
        <v>2.7128841657338305</v>
      </c>
      <c r="X57" s="31">
        <f t="shared" si="4"/>
        <v>10</v>
      </c>
    </row>
    <row r="58" spans="1:24">
      <c r="A58" s="7" t="s">
        <v>598</v>
      </c>
      <c r="B58" s="7" t="s">
        <v>599</v>
      </c>
      <c r="C58" s="7" t="s">
        <v>462</v>
      </c>
      <c r="D58" s="7"/>
      <c r="E58" s="7" t="s">
        <v>463</v>
      </c>
      <c r="F58" s="7" t="s">
        <v>464</v>
      </c>
      <c r="G58" s="7" t="s">
        <v>465</v>
      </c>
      <c r="H58" s="7"/>
      <c r="I58" s="7" t="s">
        <v>466</v>
      </c>
      <c r="J58" s="7" t="s">
        <v>467</v>
      </c>
      <c r="K58" s="1">
        <v>21.591999999999999</v>
      </c>
      <c r="L58" s="6">
        <f>K58-P58</f>
        <v>12.931999999999999</v>
      </c>
      <c r="M58" s="6">
        <v>0</v>
      </c>
      <c r="N58" s="6">
        <v>0</v>
      </c>
      <c r="O58" s="6">
        <v>0</v>
      </c>
      <c r="P58" s="6">
        <v>8.66</v>
      </c>
      <c r="Q58" s="1">
        <f t="shared" si="2"/>
        <v>81.97999999999999</v>
      </c>
      <c r="R58" s="47">
        <v>0.76</v>
      </c>
      <c r="S58" s="51">
        <v>0.5</v>
      </c>
      <c r="T58" s="1">
        <f t="shared" si="3"/>
        <v>31.152399999999997</v>
      </c>
      <c r="U58" s="30">
        <f t="shared" si="5"/>
        <v>1.5749162168614994E-2</v>
      </c>
      <c r="V58" s="8">
        <v>0</v>
      </c>
      <c r="W58" s="8">
        <f t="shared" si="6"/>
        <v>5930.7265041829178</v>
      </c>
      <c r="X58" s="31">
        <f t="shared" si="4"/>
        <v>5930.7265041829178</v>
      </c>
    </row>
    <row r="59" spans="1:24">
      <c r="A59" s="7" t="s">
        <v>600</v>
      </c>
      <c r="B59" s="7" t="s">
        <v>601</v>
      </c>
      <c r="C59" s="7" t="s">
        <v>602</v>
      </c>
      <c r="D59" s="7" t="s">
        <v>603</v>
      </c>
      <c r="E59" s="7"/>
      <c r="F59" s="7"/>
      <c r="G59" s="7" t="s">
        <v>243</v>
      </c>
      <c r="H59" s="7"/>
      <c r="I59" s="7" t="s">
        <v>244</v>
      </c>
      <c r="J59" s="7" t="s">
        <v>245</v>
      </c>
      <c r="K59" s="1">
        <v>2.5030000000000001</v>
      </c>
      <c r="L59" s="6">
        <v>0.6</v>
      </c>
      <c r="M59" s="6">
        <v>0.5</v>
      </c>
      <c r="N59" s="6">
        <f>K59-1.1</f>
        <v>1.403</v>
      </c>
      <c r="O59" s="6">
        <v>0</v>
      </c>
      <c r="P59" s="6">
        <v>0</v>
      </c>
      <c r="Q59" s="1">
        <f t="shared" si="2"/>
        <v>50.015000000000001</v>
      </c>
      <c r="R59" s="47">
        <v>0.76</v>
      </c>
      <c r="S59" s="51">
        <v>0.4</v>
      </c>
      <c r="T59" s="1">
        <f t="shared" si="3"/>
        <v>15.204560000000001</v>
      </c>
      <c r="U59" s="30">
        <f t="shared" si="5"/>
        <v>7.686697690785841E-3</v>
      </c>
      <c r="V59" s="8">
        <v>0</v>
      </c>
      <c r="W59" s="8">
        <f t="shared" si="6"/>
        <v>2894.611233049121</v>
      </c>
      <c r="X59" s="31">
        <f t="shared" si="4"/>
        <v>2894.611233049121</v>
      </c>
    </row>
    <row r="60" spans="1:24">
      <c r="A60" s="7" t="s">
        <v>604</v>
      </c>
      <c r="B60" s="7" t="s">
        <v>605</v>
      </c>
      <c r="C60" s="7" t="s">
        <v>606</v>
      </c>
      <c r="D60" s="7" t="s">
        <v>607</v>
      </c>
      <c r="E60" s="7" t="s">
        <v>605</v>
      </c>
      <c r="F60" s="7" t="s">
        <v>380</v>
      </c>
      <c r="G60" s="7" t="s">
        <v>214</v>
      </c>
      <c r="H60" s="7"/>
      <c r="I60" s="7" t="s">
        <v>215</v>
      </c>
      <c r="J60" s="7" t="s">
        <v>216</v>
      </c>
      <c r="K60" s="1">
        <v>2.4849999999999999</v>
      </c>
      <c r="L60" s="6">
        <v>0</v>
      </c>
      <c r="M60" s="6">
        <v>0.5</v>
      </c>
      <c r="N60" s="11">
        <f>K60-0.5</f>
        <v>1.9849999999999999</v>
      </c>
      <c r="O60" s="6">
        <v>0</v>
      </c>
      <c r="P60" s="6">
        <v>0</v>
      </c>
      <c r="Q60" s="1">
        <f t="shared" si="2"/>
        <v>49.924999999999997</v>
      </c>
      <c r="R60" s="47">
        <v>0.76</v>
      </c>
      <c r="S60" s="51">
        <v>1</v>
      </c>
      <c r="T60" s="1">
        <f t="shared" si="3"/>
        <v>37.942999999999998</v>
      </c>
      <c r="U60" s="30">
        <f t="shared" si="5"/>
        <v>1.9182164461285768E-2</v>
      </c>
      <c r="V60" s="8">
        <v>0</v>
      </c>
      <c r="W60" s="8">
        <f t="shared" si="6"/>
        <v>7223.5062386272793</v>
      </c>
      <c r="X60" s="31">
        <f t="shared" si="4"/>
        <v>7223.5062386272793</v>
      </c>
    </row>
    <row r="61" spans="1:24">
      <c r="A61" s="7" t="s">
        <v>608</v>
      </c>
      <c r="B61" s="7" t="s">
        <v>609</v>
      </c>
      <c r="C61" s="7" t="s">
        <v>610</v>
      </c>
      <c r="D61" s="7"/>
      <c r="E61" s="7" t="s">
        <v>611</v>
      </c>
      <c r="F61" s="7" t="s">
        <v>213</v>
      </c>
      <c r="G61" s="7" t="s">
        <v>612</v>
      </c>
      <c r="H61" s="7"/>
      <c r="I61" s="7" t="s">
        <v>613</v>
      </c>
      <c r="J61" s="7" t="s">
        <v>443</v>
      </c>
      <c r="K61" s="10">
        <v>4.7290000000000001</v>
      </c>
      <c r="L61" s="6">
        <v>0</v>
      </c>
      <c r="M61" s="6">
        <v>0.5</v>
      </c>
      <c r="N61" s="11">
        <f>K61-0.5</f>
        <v>4.2290000000000001</v>
      </c>
      <c r="O61" s="6">
        <v>0</v>
      </c>
      <c r="P61" s="6">
        <v>0</v>
      </c>
      <c r="Q61" s="1">
        <f t="shared" si="2"/>
        <v>61.144999999999996</v>
      </c>
      <c r="R61" s="47">
        <v>0.66</v>
      </c>
      <c r="S61" s="51">
        <v>1</v>
      </c>
      <c r="T61" s="1">
        <f t="shared" si="3"/>
        <v>40.355699999999999</v>
      </c>
      <c r="U61" s="30">
        <f t="shared" si="5"/>
        <v>2.0401910084872309E-2</v>
      </c>
      <c r="V61" s="8">
        <v>0</v>
      </c>
      <c r="W61" s="8">
        <f t="shared" si="6"/>
        <v>7682.8308440073506</v>
      </c>
      <c r="X61" s="31">
        <f t="shared" si="4"/>
        <v>7682.8308440073506</v>
      </c>
    </row>
    <row r="62" spans="1:24">
      <c r="A62" s="7" t="s">
        <v>614</v>
      </c>
      <c r="B62" s="7" t="s">
        <v>615</v>
      </c>
      <c r="C62" s="7" t="s">
        <v>616</v>
      </c>
      <c r="D62" s="7"/>
      <c r="E62" s="7" t="s">
        <v>615</v>
      </c>
      <c r="F62" s="7" t="s">
        <v>617</v>
      </c>
      <c r="G62" s="7" t="s">
        <v>214</v>
      </c>
      <c r="H62" s="7"/>
      <c r="I62" s="7" t="s">
        <v>215</v>
      </c>
      <c r="J62" s="7" t="s">
        <v>216</v>
      </c>
      <c r="K62" s="10">
        <v>4.6509999999999998</v>
      </c>
      <c r="L62" s="6">
        <v>0</v>
      </c>
      <c r="M62" s="6">
        <v>0.5</v>
      </c>
      <c r="N62" s="11">
        <f>K62-0.5</f>
        <v>4.1509999999999998</v>
      </c>
      <c r="O62" s="6">
        <v>0</v>
      </c>
      <c r="P62" s="6">
        <v>0</v>
      </c>
      <c r="Q62" s="1">
        <f t="shared" si="2"/>
        <v>60.754999999999995</v>
      </c>
      <c r="R62" s="47">
        <v>0.76</v>
      </c>
      <c r="S62" s="51">
        <v>1</v>
      </c>
      <c r="T62" s="1">
        <f t="shared" si="3"/>
        <v>46.1738</v>
      </c>
      <c r="U62" s="30">
        <f t="shared" si="5"/>
        <v>2.3343262931305297E-2</v>
      </c>
      <c r="V62" s="8">
        <v>0</v>
      </c>
      <c r="W62" s="8">
        <f t="shared" si="6"/>
        <v>8790.4681327551407</v>
      </c>
      <c r="X62" s="31">
        <f t="shared" si="4"/>
        <v>8790.4681327551407</v>
      </c>
    </row>
    <row r="63" spans="1:24">
      <c r="U63" s="49" t="s">
        <v>171</v>
      </c>
      <c r="V63" s="8">
        <f>SUM(V2:V62)</f>
        <v>0</v>
      </c>
      <c r="W63" s="8">
        <f>Overview!D12-'Area 2'!V63</f>
        <v>376574.09585899737</v>
      </c>
      <c r="X63" s="31">
        <f>SUM(X3:X62)</f>
        <v>376592.10015153891</v>
      </c>
    </row>
    <row r="64" spans="1:24">
      <c r="K64" s="45"/>
      <c r="M64" s="45"/>
      <c r="N64" s="45"/>
      <c r="O64" s="45"/>
      <c r="P64" s="45"/>
      <c r="U64" s="3"/>
      <c r="V64" s="3"/>
    </row>
    <row r="65" spans="12:23">
      <c r="N65" s="45"/>
    </row>
    <row r="70" spans="12:23">
      <c r="S70" t="s">
        <v>618</v>
      </c>
      <c r="T70">
        <f>SUM(T3:T62)</f>
        <v>1978.0353815951332</v>
      </c>
      <c r="U70" s="48">
        <f>SUM(U3:U62)</f>
        <v>0.99999999999999989</v>
      </c>
      <c r="W70" s="23">
        <f>SUM(W3:W62)</f>
        <v>376574.09585899737</v>
      </c>
    </row>
    <row r="71" spans="12:23">
      <c r="L71">
        <f>SUM(L3:L62)</f>
        <v>170.02999999999994</v>
      </c>
      <c r="M71">
        <f t="shared" ref="M71:N71" si="7">SUM(M3:M62)</f>
        <v>18</v>
      </c>
      <c r="N71">
        <f t="shared" si="7"/>
        <v>101.614</v>
      </c>
    </row>
  </sheetData>
  <sortState xmlns:xlrd2="http://schemas.microsoft.com/office/spreadsheetml/2017/richdata2" ref="A5:W62">
    <sortCondition ref="A5:A62"/>
  </sortState>
  <conditionalFormatting sqref="A5:A62">
    <cfRule type="duplicateValues" dxfId="2" priority="15"/>
  </conditionalFormatting>
  <pageMargins left="0.7" right="0.7" top="0.75" bottom="0.75" header="0.3" footer="0.3"/>
  <pageSetup paperSize="3" scale="68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5505-DA08-463E-9AE5-E33B9802C6AE}">
  <sheetPr>
    <pageSetUpPr fitToPage="1"/>
  </sheetPr>
  <dimension ref="A1:Z70"/>
  <sheetViews>
    <sheetView topLeftCell="A32" workbookViewId="0">
      <pane xSplit="1" topLeftCell="B1" activePane="topRight" state="frozen"/>
      <selection pane="topRight" activeCell="W38" sqref="W38"/>
    </sheetView>
  </sheetViews>
  <sheetFormatPr defaultRowHeight="14.45"/>
  <cols>
    <col min="1" max="1" width="10.7109375" bestFit="1" customWidth="1"/>
    <col min="2" max="2" width="18.42578125" bestFit="1" customWidth="1"/>
    <col min="3" max="3" width="25.140625" bestFit="1" customWidth="1"/>
    <col min="4" max="4" width="26.85546875" bestFit="1" customWidth="1"/>
    <col min="5" max="5" width="19.28515625" hidden="1" customWidth="1"/>
    <col min="6" max="6" width="23.28515625" hidden="1" customWidth="1"/>
    <col min="7" max="7" width="15.85546875" hidden="1" customWidth="1"/>
    <col min="8" max="9" width="14.5703125" hidden="1" customWidth="1"/>
    <col min="10" max="10" width="15.140625" hidden="1" customWidth="1"/>
    <col min="11" max="11" width="11.85546875" bestFit="1" customWidth="1"/>
    <col min="19" max="19" width="11.28515625" bestFit="1" customWidth="1"/>
    <col min="21" max="21" width="10.28515625" customWidth="1"/>
    <col min="22" max="22" width="12" customWidth="1"/>
    <col min="23" max="23" width="14.85546875" bestFit="1" customWidth="1"/>
    <col min="24" max="24" width="12.28515625" bestFit="1" customWidth="1"/>
    <col min="26" max="26" width="51.140625" bestFit="1" customWidth="1"/>
  </cols>
  <sheetData>
    <row r="1" spans="1:26">
      <c r="A1" s="44" t="s">
        <v>6</v>
      </c>
    </row>
    <row r="2" spans="1:26" ht="43.5">
      <c r="A2" s="5" t="s">
        <v>186</v>
      </c>
      <c r="B2" s="5" t="s">
        <v>187</v>
      </c>
      <c r="C2" s="5" t="s">
        <v>188</v>
      </c>
      <c r="D2" s="5" t="s">
        <v>189</v>
      </c>
      <c r="E2" s="5" t="s">
        <v>190</v>
      </c>
      <c r="F2" s="5" t="s">
        <v>191</v>
      </c>
      <c r="G2" s="5" t="s">
        <v>192</v>
      </c>
      <c r="H2" s="5" t="s">
        <v>193</v>
      </c>
      <c r="I2" s="5" t="s">
        <v>194</v>
      </c>
      <c r="J2" s="5" t="s">
        <v>195</v>
      </c>
      <c r="K2" s="29" t="s">
        <v>316</v>
      </c>
      <c r="L2" s="28" t="s">
        <v>197</v>
      </c>
      <c r="M2" s="28" t="s">
        <v>198</v>
      </c>
      <c r="N2" s="28" t="s">
        <v>199</v>
      </c>
      <c r="O2" s="28" t="s">
        <v>200</v>
      </c>
      <c r="P2" s="28" t="s">
        <v>201</v>
      </c>
      <c r="Q2" s="29" t="s">
        <v>202</v>
      </c>
      <c r="R2" s="28" t="s">
        <v>203</v>
      </c>
      <c r="S2" s="28" t="s">
        <v>204</v>
      </c>
      <c r="T2" s="28" t="s">
        <v>205</v>
      </c>
      <c r="U2" s="28" t="s">
        <v>206</v>
      </c>
      <c r="V2" s="29" t="s">
        <v>317</v>
      </c>
      <c r="W2" s="29" t="s">
        <v>207</v>
      </c>
      <c r="X2" s="29" t="s">
        <v>208</v>
      </c>
    </row>
    <row r="3" spans="1:26">
      <c r="A3" s="9" t="s">
        <v>318</v>
      </c>
      <c r="B3" s="12" t="s">
        <v>319</v>
      </c>
      <c r="C3" s="12" t="s">
        <v>320</v>
      </c>
      <c r="D3" s="9"/>
      <c r="E3" s="9"/>
      <c r="F3" s="9"/>
      <c r="G3" s="9"/>
      <c r="H3" s="9"/>
      <c r="I3" s="9"/>
      <c r="J3" s="9"/>
      <c r="K3" s="26">
        <f>73854.451729/43560</f>
        <v>1.695464915725436</v>
      </c>
      <c r="L3" s="1">
        <v>0</v>
      </c>
      <c r="M3" s="1">
        <v>0</v>
      </c>
      <c r="N3" s="1">
        <v>0</v>
      </c>
      <c r="O3" s="10">
        <f>K3</f>
        <v>1.695464915725436</v>
      </c>
      <c r="P3" s="1">
        <v>0</v>
      </c>
      <c r="Q3" s="1">
        <f>(L3*5+M3*80+N3*5+O3*100+P3*2)</f>
        <v>169.5464915725436</v>
      </c>
      <c r="R3" s="47">
        <v>0.76</v>
      </c>
      <c r="S3" s="51">
        <v>1</v>
      </c>
      <c r="T3" s="1">
        <f>Q3*R3*S3</f>
        <v>128.85533359513315</v>
      </c>
      <c r="U3" s="30">
        <f t="shared" ref="U3:U62" si="0">T3/T$70</f>
        <v>6.5143088336074781E-2</v>
      </c>
      <c r="V3" s="31">
        <v>36920</v>
      </c>
      <c r="W3" s="8">
        <f t="shared" ref="W3:W62" si="1">U3*W$63</f>
        <v>22126.116770252276</v>
      </c>
      <c r="X3" s="31">
        <f>IF(W3&lt;10,10,W3)+V3</f>
        <v>59046.11677025228</v>
      </c>
      <c r="Z3" s="45" t="s">
        <v>310</v>
      </c>
    </row>
    <row r="4" spans="1:26">
      <c r="A4" s="9" t="s">
        <v>318</v>
      </c>
      <c r="B4" s="12" t="s">
        <v>321</v>
      </c>
      <c r="C4" s="12" t="s">
        <v>320</v>
      </c>
      <c r="D4" s="9"/>
      <c r="E4" s="9"/>
      <c r="F4" s="9"/>
      <c r="G4" s="9"/>
      <c r="H4" s="9"/>
      <c r="I4" s="9"/>
      <c r="J4" s="9"/>
      <c r="K4" s="26">
        <v>5.5629999999999997</v>
      </c>
      <c r="L4" s="1">
        <v>0</v>
      </c>
      <c r="M4" s="1">
        <v>0</v>
      </c>
      <c r="N4" s="1">
        <v>0</v>
      </c>
      <c r="O4" s="10">
        <f>K4</f>
        <v>5.5629999999999997</v>
      </c>
      <c r="P4" s="1">
        <v>0</v>
      </c>
      <c r="Q4" s="1">
        <f t="shared" ref="Q4:Q62" si="2">(L4*5+M4*80+N4*5+O4*100+P4*2)</f>
        <v>556.29999999999995</v>
      </c>
      <c r="R4" s="47">
        <v>0.76</v>
      </c>
      <c r="S4" s="51">
        <v>1</v>
      </c>
      <c r="T4" s="1">
        <f t="shared" ref="T4:T62" si="3">Q4*R4*S4</f>
        <v>422.78799999999995</v>
      </c>
      <c r="U4" s="30">
        <f t="shared" si="0"/>
        <v>0.21374137385705103</v>
      </c>
      <c r="V4" s="8">
        <v>0</v>
      </c>
      <c r="W4" s="8">
        <f t="shared" si="1"/>
        <v>72598.13308507661</v>
      </c>
      <c r="X4" s="31">
        <f t="shared" ref="X4:X62" si="4">IF(W4&lt;10,10,W4)+V4</f>
        <v>72598.13308507661</v>
      </c>
      <c r="Z4" t="s">
        <v>311</v>
      </c>
    </row>
    <row r="5" spans="1:26">
      <c r="A5" s="7" t="s">
        <v>322</v>
      </c>
      <c r="B5" s="7" t="s">
        <v>323</v>
      </c>
      <c r="C5" s="7" t="s">
        <v>324</v>
      </c>
      <c r="D5" s="7" t="s">
        <v>325</v>
      </c>
      <c r="E5" s="7" t="s">
        <v>323</v>
      </c>
      <c r="F5" s="7" t="s">
        <v>326</v>
      </c>
      <c r="G5" s="7" t="s">
        <v>214</v>
      </c>
      <c r="H5" s="7"/>
      <c r="I5" s="7" t="s">
        <v>215</v>
      </c>
      <c r="J5" s="7" t="s">
        <v>216</v>
      </c>
      <c r="K5" s="1">
        <v>4.7969999999999997</v>
      </c>
      <c r="L5" s="6">
        <v>2.7</v>
      </c>
      <c r="M5" s="6">
        <v>0.5</v>
      </c>
      <c r="N5" s="6">
        <v>1.597</v>
      </c>
      <c r="O5" s="6">
        <v>0</v>
      </c>
      <c r="P5" s="6">
        <v>0</v>
      </c>
      <c r="Q5" s="1">
        <f t="shared" si="2"/>
        <v>61.484999999999999</v>
      </c>
      <c r="R5" s="47">
        <v>0.76</v>
      </c>
      <c r="S5" s="51">
        <v>0.4</v>
      </c>
      <c r="T5" s="1">
        <f t="shared" si="3"/>
        <v>18.69144</v>
      </c>
      <c r="U5" s="30">
        <f t="shared" si="0"/>
        <v>9.4494973011689971E-3</v>
      </c>
      <c r="V5" s="8">
        <v>0</v>
      </c>
      <c r="W5" s="8">
        <f t="shared" si="1"/>
        <v>3209.5604621505913</v>
      </c>
      <c r="X5" s="31">
        <f t="shared" si="4"/>
        <v>3209.5604621505913</v>
      </c>
      <c r="Z5" t="s">
        <v>312</v>
      </c>
    </row>
    <row r="6" spans="1:26">
      <c r="A6" s="7" t="s">
        <v>327</v>
      </c>
      <c r="B6" s="7" t="s">
        <v>328</v>
      </c>
      <c r="C6" s="7" t="s">
        <v>329</v>
      </c>
      <c r="D6" s="7" t="s">
        <v>330</v>
      </c>
      <c r="E6" s="7" t="s">
        <v>328</v>
      </c>
      <c r="F6" s="7" t="s">
        <v>213</v>
      </c>
      <c r="G6" s="7" t="s">
        <v>331</v>
      </c>
      <c r="H6" s="7" t="s">
        <v>332</v>
      </c>
      <c r="I6" s="7" t="s">
        <v>333</v>
      </c>
      <c r="J6" s="7" t="s">
        <v>334</v>
      </c>
      <c r="K6" s="10">
        <v>4.5049999999999999</v>
      </c>
      <c r="L6" s="6">
        <v>0</v>
      </c>
      <c r="M6" s="6">
        <v>0.5</v>
      </c>
      <c r="N6" s="6">
        <v>4.0049999999999999</v>
      </c>
      <c r="O6" s="6">
        <v>0</v>
      </c>
      <c r="P6" s="6">
        <v>0</v>
      </c>
      <c r="Q6" s="1">
        <f t="shared" si="2"/>
        <v>60.024999999999999</v>
      </c>
      <c r="R6" s="47">
        <v>0.1</v>
      </c>
      <c r="S6" s="51">
        <v>1</v>
      </c>
      <c r="T6" s="1">
        <f t="shared" si="3"/>
        <v>6.0025000000000004</v>
      </c>
      <c r="U6" s="30">
        <f t="shared" si="0"/>
        <v>3.034576659169487E-3</v>
      </c>
      <c r="V6" s="8">
        <v>0</v>
      </c>
      <c r="W6" s="8">
        <f t="shared" si="1"/>
        <v>1030.7063914850289</v>
      </c>
      <c r="X6" s="31">
        <f t="shared" si="4"/>
        <v>1030.7063914850289</v>
      </c>
      <c r="Z6" t="s">
        <v>313</v>
      </c>
    </row>
    <row r="7" spans="1:26">
      <c r="A7" s="7" t="s">
        <v>335</v>
      </c>
      <c r="B7" s="7" t="s">
        <v>336</v>
      </c>
      <c r="C7" s="7" t="s">
        <v>324</v>
      </c>
      <c r="D7" s="7" t="s">
        <v>325</v>
      </c>
      <c r="E7" s="7" t="s">
        <v>323</v>
      </c>
      <c r="F7" s="7" t="s">
        <v>213</v>
      </c>
      <c r="G7" s="7" t="s">
        <v>337</v>
      </c>
      <c r="H7" s="7" t="s">
        <v>338</v>
      </c>
      <c r="I7" s="7" t="s">
        <v>339</v>
      </c>
      <c r="J7" s="7" t="s">
        <v>340</v>
      </c>
      <c r="K7" s="1">
        <v>13.683999999999999</v>
      </c>
      <c r="L7" s="6">
        <v>13.683999999999999</v>
      </c>
      <c r="M7" s="6">
        <v>0</v>
      </c>
      <c r="N7" s="6">
        <v>0</v>
      </c>
      <c r="O7" s="6">
        <v>0</v>
      </c>
      <c r="P7" s="6">
        <v>0</v>
      </c>
      <c r="Q7" s="1">
        <f t="shared" si="2"/>
        <v>68.42</v>
      </c>
      <c r="R7" s="47">
        <v>0.76</v>
      </c>
      <c r="S7" s="51">
        <v>0.3</v>
      </c>
      <c r="T7" s="1">
        <f t="shared" si="3"/>
        <v>15.59976</v>
      </c>
      <c r="U7" s="30">
        <f t="shared" si="0"/>
        <v>7.8864918924857631E-3</v>
      </c>
      <c r="V7" s="8">
        <v>0</v>
      </c>
      <c r="W7" s="8">
        <f t="shared" si="1"/>
        <v>2678.6792732415652</v>
      </c>
      <c r="X7" s="31">
        <f t="shared" si="4"/>
        <v>2678.6792732415652</v>
      </c>
      <c r="Z7" t="s">
        <v>314</v>
      </c>
    </row>
    <row r="8" spans="1:26">
      <c r="A8" s="7" t="s">
        <v>341</v>
      </c>
      <c r="B8" s="7" t="s">
        <v>342</v>
      </c>
      <c r="C8" s="7" t="s">
        <v>343</v>
      </c>
      <c r="D8" s="7"/>
      <c r="E8" s="7" t="s">
        <v>344</v>
      </c>
      <c r="F8" s="7" t="s">
        <v>213</v>
      </c>
      <c r="G8" s="7" t="s">
        <v>343</v>
      </c>
      <c r="H8" s="7"/>
      <c r="I8" s="7" t="s">
        <v>345</v>
      </c>
      <c r="J8" s="7" t="s">
        <v>346</v>
      </c>
      <c r="K8" s="10">
        <v>26.265999999999998</v>
      </c>
      <c r="L8" s="11">
        <f>K8-M8-P8</f>
        <v>20.065999999999999</v>
      </c>
      <c r="M8" s="6">
        <v>0.5</v>
      </c>
      <c r="N8" s="6">
        <v>0</v>
      </c>
      <c r="O8" s="6">
        <v>0</v>
      </c>
      <c r="P8" s="6">
        <v>5.7</v>
      </c>
      <c r="Q8" s="1">
        <f t="shared" si="2"/>
        <v>151.72999999999999</v>
      </c>
      <c r="R8" s="47">
        <v>0.76</v>
      </c>
      <c r="S8" s="51">
        <v>1</v>
      </c>
      <c r="T8" s="1">
        <f t="shared" si="3"/>
        <v>115.31479999999999</v>
      </c>
      <c r="U8" s="30">
        <f t="shared" si="0"/>
        <v>5.829764273832528E-2</v>
      </c>
      <c r="V8" s="8">
        <v>0</v>
      </c>
      <c r="W8" s="8">
        <f t="shared" si="1"/>
        <v>19801.033134996716</v>
      </c>
      <c r="X8" s="31">
        <f t="shared" si="4"/>
        <v>19801.033134996716</v>
      </c>
    </row>
    <row r="9" spans="1:26">
      <c r="A9" s="7" t="s">
        <v>347</v>
      </c>
      <c r="B9" s="7" t="s">
        <v>348</v>
      </c>
      <c r="C9" s="7" t="s">
        <v>349</v>
      </c>
      <c r="D9" s="7" t="s">
        <v>350</v>
      </c>
      <c r="E9" s="7" t="s">
        <v>348</v>
      </c>
      <c r="F9" s="7" t="s">
        <v>213</v>
      </c>
      <c r="G9" s="7" t="s">
        <v>351</v>
      </c>
      <c r="H9" s="7" t="s">
        <v>352</v>
      </c>
      <c r="I9" s="7" t="s">
        <v>353</v>
      </c>
      <c r="J9" s="7" t="s">
        <v>354</v>
      </c>
      <c r="K9" s="10">
        <v>20.535</v>
      </c>
      <c r="L9" s="11">
        <f>K9-M9</f>
        <v>20.035</v>
      </c>
      <c r="M9" s="6">
        <v>0.5</v>
      </c>
      <c r="N9" s="6">
        <v>0</v>
      </c>
      <c r="O9" s="6">
        <v>0</v>
      </c>
      <c r="P9" s="6">
        <v>0</v>
      </c>
      <c r="Q9" s="1">
        <f t="shared" si="2"/>
        <v>140.17500000000001</v>
      </c>
      <c r="R9" s="47">
        <v>0.56999999999999995</v>
      </c>
      <c r="S9" s="51">
        <v>1</v>
      </c>
      <c r="T9" s="1">
        <f t="shared" si="3"/>
        <v>79.899749999999997</v>
      </c>
      <c r="U9" s="30">
        <f t="shared" si="0"/>
        <v>4.0393488783586368E-2</v>
      </c>
      <c r="V9" s="8">
        <v>0</v>
      </c>
      <c r="W9" s="8">
        <f t="shared" si="1"/>
        <v>13719.813911379579</v>
      </c>
      <c r="X9" s="31">
        <f t="shared" si="4"/>
        <v>13719.813911379579</v>
      </c>
    </row>
    <row r="10" spans="1:26">
      <c r="A10" s="7" t="s">
        <v>355</v>
      </c>
      <c r="B10" s="7" t="s">
        <v>356</v>
      </c>
      <c r="C10" s="7" t="s">
        <v>357</v>
      </c>
      <c r="D10" s="7"/>
      <c r="E10" s="7" t="s">
        <v>358</v>
      </c>
      <c r="F10" s="7" t="s">
        <v>359</v>
      </c>
      <c r="G10" s="7" t="s">
        <v>360</v>
      </c>
      <c r="H10" s="7"/>
      <c r="I10" s="7" t="s">
        <v>361</v>
      </c>
      <c r="J10" s="7" t="s">
        <v>362</v>
      </c>
      <c r="K10" s="1">
        <v>0.29299999999999998</v>
      </c>
      <c r="L10" s="6">
        <v>0.29299999999999998</v>
      </c>
      <c r="M10" s="6">
        <v>0</v>
      </c>
      <c r="N10" s="6">
        <v>0</v>
      </c>
      <c r="O10" s="6">
        <v>0</v>
      </c>
      <c r="P10" s="6">
        <v>0</v>
      </c>
      <c r="Q10" s="1">
        <f t="shared" si="2"/>
        <v>1.4649999999999999</v>
      </c>
      <c r="R10" s="47">
        <v>0.76</v>
      </c>
      <c r="S10" s="51">
        <v>0.1</v>
      </c>
      <c r="T10" s="1">
        <f t="shared" si="3"/>
        <v>0.11133999999999999</v>
      </c>
      <c r="U10" s="30">
        <f t="shared" si="0"/>
        <v>5.6288174132766448E-5</v>
      </c>
      <c r="V10" s="8">
        <v>0</v>
      </c>
      <c r="W10" s="8">
        <f t="shared" si="1"/>
        <v>19.118508892618593</v>
      </c>
      <c r="X10" s="31">
        <f t="shared" si="4"/>
        <v>19.118508892618593</v>
      </c>
    </row>
    <row r="11" spans="1:26">
      <c r="A11" s="7" t="s">
        <v>363</v>
      </c>
      <c r="B11" s="7" t="s">
        <v>364</v>
      </c>
      <c r="C11" s="7" t="s">
        <v>365</v>
      </c>
      <c r="D11" s="7"/>
      <c r="E11" s="7" t="s">
        <v>364</v>
      </c>
      <c r="F11" s="7" t="s">
        <v>213</v>
      </c>
      <c r="G11" s="7" t="s">
        <v>365</v>
      </c>
      <c r="H11" s="7"/>
      <c r="I11" s="7" t="s">
        <v>366</v>
      </c>
      <c r="J11" s="7" t="s">
        <v>367</v>
      </c>
      <c r="K11" s="1">
        <v>0.755</v>
      </c>
      <c r="L11" s="6">
        <v>0.755</v>
      </c>
      <c r="M11" s="6">
        <v>0</v>
      </c>
      <c r="N11" s="27">
        <v>0</v>
      </c>
      <c r="O11" s="6">
        <v>0</v>
      </c>
      <c r="P11" s="6">
        <v>0</v>
      </c>
      <c r="Q11" s="1">
        <f t="shared" si="2"/>
        <v>3.7749999999999999</v>
      </c>
      <c r="R11" s="47">
        <v>0.76</v>
      </c>
      <c r="S11" s="51">
        <v>0.3</v>
      </c>
      <c r="T11" s="1">
        <f t="shared" si="3"/>
        <v>0.86069999999999991</v>
      </c>
      <c r="U11" s="30">
        <f t="shared" si="0"/>
        <v>4.3512871812531059E-4</v>
      </c>
      <c r="V11" s="8">
        <v>0</v>
      </c>
      <c r="W11" s="8">
        <f t="shared" si="1"/>
        <v>147.79325133713689</v>
      </c>
      <c r="X11" s="31">
        <f t="shared" si="4"/>
        <v>147.79325133713689</v>
      </c>
      <c r="Z11" s="23"/>
    </row>
    <row r="12" spans="1:26">
      <c r="A12" s="7" t="s">
        <v>368</v>
      </c>
      <c r="B12" s="7" t="s">
        <v>369</v>
      </c>
      <c r="C12" s="7" t="s">
        <v>370</v>
      </c>
      <c r="D12" s="7"/>
      <c r="E12" s="7" t="s">
        <v>371</v>
      </c>
      <c r="F12" s="7" t="s">
        <v>213</v>
      </c>
      <c r="G12" s="7" t="s">
        <v>370</v>
      </c>
      <c r="H12" s="7"/>
      <c r="I12" s="7" t="s">
        <v>372</v>
      </c>
      <c r="J12" s="7" t="s">
        <v>373</v>
      </c>
      <c r="K12" s="10">
        <v>0.28299999999999997</v>
      </c>
      <c r="L12" s="6">
        <v>0</v>
      </c>
      <c r="M12" s="6">
        <v>0</v>
      </c>
      <c r="N12" s="6">
        <v>0</v>
      </c>
      <c r="O12" s="6">
        <v>0</v>
      </c>
      <c r="P12" s="6">
        <v>0.28299999999999997</v>
      </c>
      <c r="Q12" s="1">
        <f t="shared" si="2"/>
        <v>0.56599999999999995</v>
      </c>
      <c r="R12" s="47">
        <v>0.66</v>
      </c>
      <c r="S12" s="51">
        <v>0.8</v>
      </c>
      <c r="T12" s="1">
        <f t="shared" si="3"/>
        <v>0.298848</v>
      </c>
      <c r="U12" s="30">
        <f t="shared" si="0"/>
        <v>1.5108324288871017E-4</v>
      </c>
      <c r="V12" s="8">
        <v>0</v>
      </c>
      <c r="W12" s="8">
        <f t="shared" si="1"/>
        <v>51.316042262810143</v>
      </c>
      <c r="X12" s="31">
        <f t="shared" si="4"/>
        <v>51.316042262810143</v>
      </c>
      <c r="Z12" s="23">
        <f>W3+W4</f>
        <v>94724.24985532889</v>
      </c>
    </row>
    <row r="13" spans="1:26">
      <c r="A13" s="7" t="s">
        <v>374</v>
      </c>
      <c r="B13" s="7" t="s">
        <v>375</v>
      </c>
      <c r="C13" s="7" t="s">
        <v>370</v>
      </c>
      <c r="D13" s="7"/>
      <c r="E13" s="7" t="s">
        <v>371</v>
      </c>
      <c r="F13" s="7" t="s">
        <v>213</v>
      </c>
      <c r="G13" s="7" t="s">
        <v>370</v>
      </c>
      <c r="H13" s="7"/>
      <c r="I13" s="7" t="s">
        <v>372</v>
      </c>
      <c r="J13" s="7" t="s">
        <v>373</v>
      </c>
      <c r="K13" s="10">
        <v>7.157</v>
      </c>
      <c r="L13" s="6">
        <v>7.157</v>
      </c>
      <c r="M13" s="6">
        <v>0</v>
      </c>
      <c r="N13" s="6">
        <v>0</v>
      </c>
      <c r="O13" s="6">
        <v>0</v>
      </c>
      <c r="P13" s="6">
        <v>0</v>
      </c>
      <c r="Q13" s="1">
        <f t="shared" si="2"/>
        <v>35.784999999999997</v>
      </c>
      <c r="R13" s="47">
        <v>0.76</v>
      </c>
      <c r="S13" s="51">
        <v>0.8</v>
      </c>
      <c r="T13" s="1">
        <f t="shared" si="3"/>
        <v>21.757279999999998</v>
      </c>
      <c r="U13" s="30">
        <f t="shared" si="0"/>
        <v>1.0999439242818007E-2</v>
      </c>
      <c r="V13" s="8">
        <v>0</v>
      </c>
      <c r="W13" s="8">
        <f t="shared" si="1"/>
        <v>3736.0045909753248</v>
      </c>
      <c r="X13" s="31">
        <f t="shared" si="4"/>
        <v>3736.0045909753248</v>
      </c>
    </row>
    <row r="14" spans="1:26">
      <c r="A14" s="7" t="s">
        <v>376</v>
      </c>
      <c r="B14" s="7" t="s">
        <v>377</v>
      </c>
      <c r="C14" s="7" t="s">
        <v>378</v>
      </c>
      <c r="D14" s="7" t="s">
        <v>379</v>
      </c>
      <c r="E14" s="7" t="s">
        <v>377</v>
      </c>
      <c r="F14" s="7" t="s">
        <v>380</v>
      </c>
      <c r="G14" s="7" t="s">
        <v>381</v>
      </c>
      <c r="H14" s="7" t="s">
        <v>382</v>
      </c>
      <c r="I14" s="7" t="s">
        <v>383</v>
      </c>
      <c r="J14" s="7" t="s">
        <v>384</v>
      </c>
      <c r="K14" s="10">
        <v>4.4660000000000002</v>
      </c>
      <c r="L14" s="11">
        <f>K14-2</f>
        <v>2.4660000000000002</v>
      </c>
      <c r="M14" s="6">
        <v>0.5</v>
      </c>
      <c r="N14" s="6">
        <v>1.5</v>
      </c>
      <c r="O14" s="6">
        <v>0</v>
      </c>
      <c r="P14" s="6">
        <v>0</v>
      </c>
      <c r="Q14" s="1">
        <f t="shared" si="2"/>
        <v>59.83</v>
      </c>
      <c r="R14" s="47">
        <v>0.76</v>
      </c>
      <c r="S14" s="51">
        <v>1</v>
      </c>
      <c r="T14" s="1">
        <f t="shared" si="3"/>
        <v>45.470799999999997</v>
      </c>
      <c r="U14" s="30">
        <f t="shared" si="0"/>
        <v>2.2987859784050626E-2</v>
      </c>
      <c r="V14" s="8">
        <v>0</v>
      </c>
      <c r="W14" s="8">
        <f t="shared" si="1"/>
        <v>7807.9207306851222</v>
      </c>
      <c r="X14" s="31">
        <f t="shared" si="4"/>
        <v>7807.9207306851222</v>
      </c>
    </row>
    <row r="15" spans="1:26">
      <c r="A15" s="7" t="s">
        <v>385</v>
      </c>
      <c r="B15" s="7" t="s">
        <v>386</v>
      </c>
      <c r="C15" s="7" t="s">
        <v>387</v>
      </c>
      <c r="D15" s="7" t="s">
        <v>388</v>
      </c>
      <c r="E15" s="7" t="s">
        <v>386</v>
      </c>
      <c r="F15" s="7" t="s">
        <v>213</v>
      </c>
      <c r="G15" s="7" t="s">
        <v>389</v>
      </c>
      <c r="H15" s="7" t="s">
        <v>390</v>
      </c>
      <c r="I15" s="7" t="s">
        <v>391</v>
      </c>
      <c r="J15" s="7" t="s">
        <v>392</v>
      </c>
      <c r="K15" s="1">
        <v>0.28000000000000003</v>
      </c>
      <c r="L15" s="6">
        <v>0.28000000000000003</v>
      </c>
      <c r="M15" s="6">
        <v>0</v>
      </c>
      <c r="N15" s="6">
        <v>0</v>
      </c>
      <c r="O15" s="6">
        <v>0</v>
      </c>
      <c r="P15" s="6">
        <v>0</v>
      </c>
      <c r="Q15" s="1">
        <f t="shared" si="2"/>
        <v>1.4000000000000001</v>
      </c>
      <c r="R15" s="47">
        <v>0.76</v>
      </c>
      <c r="S15" s="51">
        <v>0.1</v>
      </c>
      <c r="T15" s="1">
        <f t="shared" si="3"/>
        <v>0.10640000000000001</v>
      </c>
      <c r="U15" s="30">
        <f t="shared" si="0"/>
        <v>5.3790746611517434E-5</v>
      </c>
      <c r="V15" s="8">
        <v>0</v>
      </c>
      <c r="W15" s="8">
        <f t="shared" si="1"/>
        <v>18.270247405915381</v>
      </c>
      <c r="X15" s="31">
        <f t="shared" si="4"/>
        <v>18.270247405915381</v>
      </c>
    </row>
    <row r="16" spans="1:26">
      <c r="A16" s="7" t="s">
        <v>393</v>
      </c>
      <c r="B16" s="7" t="s">
        <v>394</v>
      </c>
      <c r="C16" s="7" t="s">
        <v>395</v>
      </c>
      <c r="D16" s="7" t="s">
        <v>396</v>
      </c>
      <c r="E16" s="7"/>
      <c r="F16" s="7"/>
      <c r="G16" s="7" t="s">
        <v>397</v>
      </c>
      <c r="H16" s="7" t="s">
        <v>398</v>
      </c>
      <c r="I16" s="7" t="s">
        <v>399</v>
      </c>
      <c r="J16" s="7" t="s">
        <v>334</v>
      </c>
      <c r="K16" s="10">
        <v>5.8000000000000003E-2</v>
      </c>
      <c r="L16" s="6">
        <v>0</v>
      </c>
      <c r="M16" s="6">
        <v>0</v>
      </c>
      <c r="N16" s="6">
        <v>5.8000000000000003E-2</v>
      </c>
      <c r="O16" s="6">
        <v>0</v>
      </c>
      <c r="P16" s="6">
        <v>0</v>
      </c>
      <c r="Q16" s="1">
        <f t="shared" si="2"/>
        <v>0.29000000000000004</v>
      </c>
      <c r="R16" s="47">
        <v>0.1</v>
      </c>
      <c r="S16" s="51">
        <v>1</v>
      </c>
      <c r="T16" s="1">
        <f t="shared" si="3"/>
        <v>2.9000000000000005E-2</v>
      </c>
      <c r="U16" s="30">
        <f t="shared" si="0"/>
        <v>1.4661011764417347E-5</v>
      </c>
      <c r="V16" s="8">
        <v>0</v>
      </c>
      <c r="W16" s="8">
        <f t="shared" si="1"/>
        <v>4.9796726952212982</v>
      </c>
      <c r="X16" s="31">
        <f t="shared" si="4"/>
        <v>10</v>
      </c>
    </row>
    <row r="17" spans="1:24">
      <c r="A17" s="7" t="s">
        <v>400</v>
      </c>
      <c r="B17" s="7" t="s">
        <v>401</v>
      </c>
      <c r="C17" s="7" t="s">
        <v>402</v>
      </c>
      <c r="D17" s="7"/>
      <c r="E17" s="7" t="s">
        <v>401</v>
      </c>
      <c r="F17" s="7" t="s">
        <v>213</v>
      </c>
      <c r="G17" s="7" t="s">
        <v>214</v>
      </c>
      <c r="H17" s="7"/>
      <c r="I17" s="7" t="s">
        <v>215</v>
      </c>
      <c r="J17" s="7" t="s">
        <v>216</v>
      </c>
      <c r="K17" s="10">
        <v>4.4409999999999998</v>
      </c>
      <c r="L17" s="6">
        <v>0</v>
      </c>
      <c r="M17" s="6">
        <v>0.5</v>
      </c>
      <c r="N17" s="11">
        <f>K17-0.5</f>
        <v>3.9409999999999998</v>
      </c>
      <c r="O17" s="6">
        <v>0</v>
      </c>
      <c r="P17" s="6">
        <v>0</v>
      </c>
      <c r="Q17" s="1">
        <f t="shared" si="2"/>
        <v>59.704999999999998</v>
      </c>
      <c r="R17" s="47">
        <v>0.56999999999999995</v>
      </c>
      <c r="S17" s="51">
        <v>1</v>
      </c>
      <c r="T17" s="1">
        <f t="shared" si="3"/>
        <v>34.031849999999999</v>
      </c>
      <c r="U17" s="30">
        <f t="shared" si="0"/>
        <v>1.7204874248789186E-2</v>
      </c>
      <c r="V17" s="8">
        <v>0</v>
      </c>
      <c r="W17" s="8">
        <f t="shared" si="1"/>
        <v>5843.7060073402372</v>
      </c>
      <c r="X17" s="31">
        <f t="shared" si="4"/>
        <v>5843.7060073402372</v>
      </c>
    </row>
    <row r="18" spans="1:24">
      <c r="A18" s="7" t="s">
        <v>403</v>
      </c>
      <c r="B18" s="7" t="s">
        <v>404</v>
      </c>
      <c r="C18" s="7" t="s">
        <v>405</v>
      </c>
      <c r="D18" s="7" t="s">
        <v>406</v>
      </c>
      <c r="E18" s="7" t="s">
        <v>404</v>
      </c>
      <c r="F18" s="7" t="s">
        <v>213</v>
      </c>
      <c r="G18" s="7" t="s">
        <v>214</v>
      </c>
      <c r="H18" s="7"/>
      <c r="I18" s="7" t="s">
        <v>215</v>
      </c>
      <c r="J18" s="7" t="s">
        <v>216</v>
      </c>
      <c r="K18" s="10">
        <v>2.8929999999999998</v>
      </c>
      <c r="L18" s="6">
        <v>0</v>
      </c>
      <c r="M18" s="6">
        <v>0.5</v>
      </c>
      <c r="N18" s="11">
        <f>K18-0.5</f>
        <v>2.3929999999999998</v>
      </c>
      <c r="O18" s="6">
        <v>0</v>
      </c>
      <c r="P18" s="6"/>
      <c r="Q18" s="1">
        <f t="shared" si="2"/>
        <v>51.965000000000003</v>
      </c>
      <c r="R18" s="47">
        <v>0.1</v>
      </c>
      <c r="S18" s="51">
        <v>1</v>
      </c>
      <c r="T18" s="1">
        <f t="shared" si="3"/>
        <v>5.1965000000000003</v>
      </c>
      <c r="U18" s="30">
        <f t="shared" si="0"/>
        <v>2.6271016425446461E-3</v>
      </c>
      <c r="V18" s="8">
        <v>0</v>
      </c>
      <c r="W18" s="8">
        <f t="shared" si="1"/>
        <v>892.30583312818874</v>
      </c>
      <c r="X18" s="31">
        <f t="shared" si="4"/>
        <v>892.30583312818874</v>
      </c>
    </row>
    <row r="19" spans="1:24">
      <c r="A19" s="7" t="s">
        <v>407</v>
      </c>
      <c r="B19" s="7" t="s">
        <v>408</v>
      </c>
      <c r="C19" s="7" t="s">
        <v>409</v>
      </c>
      <c r="D19" s="7" t="s">
        <v>410</v>
      </c>
      <c r="E19" s="7" t="s">
        <v>408</v>
      </c>
      <c r="F19" s="7" t="s">
        <v>213</v>
      </c>
      <c r="G19" s="7" t="s">
        <v>411</v>
      </c>
      <c r="H19" s="7"/>
      <c r="I19" s="7" t="s">
        <v>412</v>
      </c>
      <c r="J19" s="7" t="s">
        <v>384</v>
      </c>
      <c r="K19" s="10">
        <v>4.4269999999999996</v>
      </c>
      <c r="L19" s="6">
        <v>0</v>
      </c>
      <c r="M19" s="6">
        <v>0.5</v>
      </c>
      <c r="N19" s="11">
        <f>K19-0.5-0.63</f>
        <v>3.2969999999999997</v>
      </c>
      <c r="O19" s="6">
        <v>0</v>
      </c>
      <c r="P19" s="6">
        <v>0.63</v>
      </c>
      <c r="Q19" s="1">
        <f t="shared" si="2"/>
        <v>57.744999999999997</v>
      </c>
      <c r="R19" s="47">
        <v>1</v>
      </c>
      <c r="S19" s="51">
        <v>1</v>
      </c>
      <c r="T19" s="1">
        <f t="shared" si="3"/>
        <v>57.744999999999997</v>
      </c>
      <c r="U19" s="30">
        <f t="shared" si="0"/>
        <v>2.9193107735733775E-2</v>
      </c>
      <c r="V19" s="8">
        <v>0</v>
      </c>
      <c r="W19" s="8">
        <f t="shared" si="1"/>
        <v>9915.5586132949575</v>
      </c>
      <c r="X19" s="31">
        <f t="shared" si="4"/>
        <v>9915.5586132949575</v>
      </c>
    </row>
    <row r="20" spans="1:24">
      <c r="A20" s="7" t="s">
        <v>413</v>
      </c>
      <c r="B20" s="7" t="s">
        <v>414</v>
      </c>
      <c r="C20" s="7" t="s">
        <v>415</v>
      </c>
      <c r="D20" s="7" t="s">
        <v>416</v>
      </c>
      <c r="E20" s="7" t="s">
        <v>414</v>
      </c>
      <c r="F20" s="7" t="s">
        <v>213</v>
      </c>
      <c r="G20" s="7" t="s">
        <v>214</v>
      </c>
      <c r="H20" s="7"/>
      <c r="I20" s="7" t="s">
        <v>215</v>
      </c>
      <c r="J20" s="7" t="s">
        <v>216</v>
      </c>
      <c r="K20" s="10">
        <v>4.5389999999999997</v>
      </c>
      <c r="L20" s="6">
        <v>2.2000000000000002</v>
      </c>
      <c r="M20" s="6">
        <v>0.5</v>
      </c>
      <c r="N20" s="11">
        <f>K20-L20-M20</f>
        <v>1.8389999999999995</v>
      </c>
      <c r="O20" s="6">
        <v>0</v>
      </c>
      <c r="P20" s="6">
        <v>0</v>
      </c>
      <c r="Q20" s="1">
        <f t="shared" si="2"/>
        <v>60.194999999999993</v>
      </c>
      <c r="R20" s="47">
        <v>0.38</v>
      </c>
      <c r="S20" s="51">
        <v>1</v>
      </c>
      <c r="T20" s="1">
        <f t="shared" si="3"/>
        <v>22.874099999999999</v>
      </c>
      <c r="U20" s="30">
        <f t="shared" si="0"/>
        <v>1.1564049972429612E-2</v>
      </c>
      <c r="V20" s="8">
        <v>0</v>
      </c>
      <c r="W20" s="8">
        <f t="shared" si="1"/>
        <v>3927.7769378538437</v>
      </c>
      <c r="X20" s="31">
        <f t="shared" si="4"/>
        <v>3927.7769378538437</v>
      </c>
    </row>
    <row r="21" spans="1:24">
      <c r="A21" s="7" t="s">
        <v>417</v>
      </c>
      <c r="B21" s="7" t="s">
        <v>418</v>
      </c>
      <c r="C21" s="7" t="s">
        <v>419</v>
      </c>
      <c r="D21" s="7" t="s">
        <v>420</v>
      </c>
      <c r="E21" s="7" t="s">
        <v>418</v>
      </c>
      <c r="F21" s="7" t="s">
        <v>380</v>
      </c>
      <c r="G21" s="7" t="s">
        <v>421</v>
      </c>
      <c r="H21" s="7"/>
      <c r="I21" s="7" t="s">
        <v>422</v>
      </c>
      <c r="J21" s="7" t="s">
        <v>384</v>
      </c>
      <c r="K21" s="10">
        <v>4.4279999999999999</v>
      </c>
      <c r="L21" s="6">
        <v>0</v>
      </c>
      <c r="M21" s="6">
        <v>0.5</v>
      </c>
      <c r="N21" s="11">
        <f>K21-0.5</f>
        <v>3.9279999999999999</v>
      </c>
      <c r="O21" s="6">
        <v>0</v>
      </c>
      <c r="P21" s="6">
        <v>0</v>
      </c>
      <c r="Q21" s="1">
        <f t="shared" si="2"/>
        <v>59.64</v>
      </c>
      <c r="R21" s="47">
        <v>0.66</v>
      </c>
      <c r="S21" s="51">
        <v>1</v>
      </c>
      <c r="T21" s="1">
        <f t="shared" si="3"/>
        <v>39.362400000000001</v>
      </c>
      <c r="U21" s="30">
        <f t="shared" si="0"/>
        <v>1.9899745154334528E-2</v>
      </c>
      <c r="V21" s="8">
        <v>0</v>
      </c>
      <c r="W21" s="8">
        <f t="shared" si="1"/>
        <v>6759.029948219958</v>
      </c>
      <c r="X21" s="31">
        <f t="shared" si="4"/>
        <v>6759.029948219958</v>
      </c>
    </row>
    <row r="22" spans="1:24">
      <c r="A22" s="7" t="s">
        <v>423</v>
      </c>
      <c r="B22" s="7" t="s">
        <v>424</v>
      </c>
      <c r="C22" s="7" t="s">
        <v>425</v>
      </c>
      <c r="D22" s="7"/>
      <c r="E22" s="7" t="s">
        <v>424</v>
      </c>
      <c r="F22" s="7" t="s">
        <v>213</v>
      </c>
      <c r="G22" s="7" t="s">
        <v>426</v>
      </c>
      <c r="H22" s="7"/>
      <c r="I22" s="7" t="s">
        <v>427</v>
      </c>
      <c r="J22" s="7" t="s">
        <v>384</v>
      </c>
      <c r="K22" s="10">
        <v>4.4889999999999999</v>
      </c>
      <c r="L22" s="11">
        <f>K22-1.68</f>
        <v>2.8090000000000002</v>
      </c>
      <c r="M22" s="6">
        <v>0.5</v>
      </c>
      <c r="N22" s="6">
        <v>1.18</v>
      </c>
      <c r="O22" s="6">
        <v>0</v>
      </c>
      <c r="P22" s="6">
        <v>0</v>
      </c>
      <c r="Q22" s="1">
        <f t="shared" si="2"/>
        <v>59.945</v>
      </c>
      <c r="R22" s="47">
        <v>0.66</v>
      </c>
      <c r="S22" s="51">
        <v>1</v>
      </c>
      <c r="T22" s="1">
        <f t="shared" si="3"/>
        <v>39.563700000000004</v>
      </c>
      <c r="U22" s="30">
        <f t="shared" si="0"/>
        <v>2.0001512798064777E-2</v>
      </c>
      <c r="V22" s="8">
        <v>0</v>
      </c>
      <c r="W22" s="8">
        <f t="shared" si="1"/>
        <v>6793.5957452388566</v>
      </c>
      <c r="X22" s="31">
        <f t="shared" si="4"/>
        <v>6793.5957452388566</v>
      </c>
    </row>
    <row r="23" spans="1:24">
      <c r="A23" s="7" t="s">
        <v>251</v>
      </c>
      <c r="B23" s="7" t="s">
        <v>252</v>
      </c>
      <c r="C23" s="7" t="s">
        <v>253</v>
      </c>
      <c r="D23" s="7"/>
      <c r="E23" s="7" t="s">
        <v>252</v>
      </c>
      <c r="F23" s="7" t="s">
        <v>213</v>
      </c>
      <c r="G23" s="7" t="s">
        <v>254</v>
      </c>
      <c r="H23" s="7"/>
      <c r="I23" s="7" t="s">
        <v>255</v>
      </c>
      <c r="J23" s="7" t="s">
        <v>237</v>
      </c>
      <c r="K23" s="10">
        <v>0.68200000000000005</v>
      </c>
      <c r="L23" s="6">
        <v>0</v>
      </c>
      <c r="M23" s="6">
        <v>0</v>
      </c>
      <c r="N23" s="6">
        <v>0.68200000000000005</v>
      </c>
      <c r="O23" s="6">
        <v>0</v>
      </c>
      <c r="P23" s="6">
        <v>0</v>
      </c>
      <c r="Q23" s="1">
        <f t="shared" si="2"/>
        <v>3.41</v>
      </c>
      <c r="R23" s="47">
        <v>0.56999999999999995</v>
      </c>
      <c r="S23" s="51">
        <v>1</v>
      </c>
      <c r="T23" s="1">
        <f t="shared" si="3"/>
        <v>1.9437</v>
      </c>
      <c r="U23" s="30">
        <f t="shared" si="0"/>
        <v>9.8264167470682733E-4</v>
      </c>
      <c r="V23" s="8">
        <v>0</v>
      </c>
      <c r="W23" s="8">
        <f t="shared" si="1"/>
        <v>333.75826957591846</v>
      </c>
      <c r="X23" s="31">
        <f t="shared" si="4"/>
        <v>333.75826957591846</v>
      </c>
    </row>
    <row r="24" spans="1:24">
      <c r="A24" s="7" t="s">
        <v>428</v>
      </c>
      <c r="B24" s="7" t="s">
        <v>429</v>
      </c>
      <c r="C24" s="7" t="s">
        <v>430</v>
      </c>
      <c r="D24" s="7" t="s">
        <v>431</v>
      </c>
      <c r="E24" s="7" t="s">
        <v>429</v>
      </c>
      <c r="F24" s="7" t="s">
        <v>213</v>
      </c>
      <c r="G24" s="7" t="s">
        <v>432</v>
      </c>
      <c r="H24" s="7" t="s">
        <v>433</v>
      </c>
      <c r="I24" s="7" t="s">
        <v>434</v>
      </c>
      <c r="J24" s="7" t="s">
        <v>435</v>
      </c>
      <c r="K24" s="10">
        <v>4.6230000000000002</v>
      </c>
      <c r="L24" s="6">
        <v>0</v>
      </c>
      <c r="M24" s="6">
        <v>0.5</v>
      </c>
      <c r="N24" s="11">
        <f>K24-M24</f>
        <v>4.1230000000000002</v>
      </c>
      <c r="O24" s="6">
        <v>0</v>
      </c>
      <c r="P24" s="6">
        <v>0</v>
      </c>
      <c r="Q24" s="1">
        <f t="shared" si="2"/>
        <v>60.615000000000002</v>
      </c>
      <c r="R24" s="47">
        <v>0.25</v>
      </c>
      <c r="S24" s="51">
        <v>1</v>
      </c>
      <c r="T24" s="1">
        <f t="shared" si="3"/>
        <v>15.15375</v>
      </c>
      <c r="U24" s="30">
        <f t="shared" si="0"/>
        <v>7.6610105870703223E-3</v>
      </c>
      <c r="V24" s="8">
        <v>0</v>
      </c>
      <c r="W24" s="8">
        <f t="shared" si="1"/>
        <v>2602.093624317577</v>
      </c>
      <c r="X24" s="31">
        <f t="shared" si="4"/>
        <v>2602.093624317577</v>
      </c>
    </row>
    <row r="25" spans="1:24">
      <c r="A25" s="7" t="s">
        <v>256</v>
      </c>
      <c r="B25" s="7" t="s">
        <v>257</v>
      </c>
      <c r="C25" s="7" t="s">
        <v>258</v>
      </c>
      <c r="D25" s="7"/>
      <c r="E25" s="7" t="s">
        <v>257</v>
      </c>
      <c r="F25" s="7" t="s">
        <v>213</v>
      </c>
      <c r="G25" s="7" t="s">
        <v>214</v>
      </c>
      <c r="H25" s="7"/>
      <c r="I25" s="7" t="s">
        <v>215</v>
      </c>
      <c r="J25" s="7" t="s">
        <v>216</v>
      </c>
      <c r="K25" s="10">
        <v>0.33200000000000002</v>
      </c>
      <c r="L25" s="6">
        <v>0</v>
      </c>
      <c r="M25" s="6">
        <v>0</v>
      </c>
      <c r="N25" s="6">
        <v>0.33200000000000002</v>
      </c>
      <c r="O25" s="6">
        <v>0</v>
      </c>
      <c r="P25" s="6">
        <v>0</v>
      </c>
      <c r="Q25" s="1">
        <f t="shared" si="2"/>
        <v>1.6600000000000001</v>
      </c>
      <c r="R25" s="47">
        <v>0.56999999999999995</v>
      </c>
      <c r="S25" s="51">
        <v>1</v>
      </c>
      <c r="T25" s="1">
        <f t="shared" si="3"/>
        <v>0.94620000000000004</v>
      </c>
      <c r="U25" s="30">
        <f t="shared" si="0"/>
        <v>4.7835342522385146E-4</v>
      </c>
      <c r="V25" s="8">
        <v>0</v>
      </c>
      <c r="W25" s="8">
        <f t="shared" si="1"/>
        <v>162.47470014546178</v>
      </c>
      <c r="X25" s="31">
        <f t="shared" si="4"/>
        <v>162.47470014546178</v>
      </c>
    </row>
    <row r="26" spans="1:24">
      <c r="A26" s="7" t="s">
        <v>436</v>
      </c>
      <c r="B26" s="7" t="s">
        <v>437</v>
      </c>
      <c r="C26" s="7" t="s">
        <v>438</v>
      </c>
      <c r="D26" s="7" t="s">
        <v>439</v>
      </c>
      <c r="E26" s="7" t="s">
        <v>437</v>
      </c>
      <c r="F26" s="7" t="s">
        <v>213</v>
      </c>
      <c r="G26" s="7" t="s">
        <v>440</v>
      </c>
      <c r="H26" s="7" t="s">
        <v>441</v>
      </c>
      <c r="I26" s="7" t="s">
        <v>442</v>
      </c>
      <c r="J26" s="7" t="s">
        <v>443</v>
      </c>
      <c r="K26" s="10">
        <v>3.597</v>
      </c>
      <c r="L26" s="11">
        <f>K26-1.4</f>
        <v>2.1970000000000001</v>
      </c>
      <c r="M26" s="6">
        <v>0.5</v>
      </c>
      <c r="N26" s="6">
        <v>0.9</v>
      </c>
      <c r="O26" s="6">
        <v>0</v>
      </c>
      <c r="P26" s="6">
        <v>0</v>
      </c>
      <c r="Q26" s="1">
        <f t="shared" si="2"/>
        <v>55.484999999999999</v>
      </c>
      <c r="R26" s="47">
        <v>0.76</v>
      </c>
      <c r="S26" s="51">
        <v>1</v>
      </c>
      <c r="T26" s="1">
        <f t="shared" si="3"/>
        <v>42.168599999999998</v>
      </c>
      <c r="U26" s="30">
        <f t="shared" si="0"/>
        <v>2.1318425541000316E-2</v>
      </c>
      <c r="V26" s="8">
        <v>0</v>
      </c>
      <c r="W26" s="8">
        <f t="shared" si="1"/>
        <v>7240.8905522658197</v>
      </c>
      <c r="X26" s="31">
        <f t="shared" si="4"/>
        <v>7240.8905522658197</v>
      </c>
    </row>
    <row r="27" spans="1:24">
      <c r="A27" s="7" t="s">
        <v>266</v>
      </c>
      <c r="B27" s="7" t="s">
        <v>267</v>
      </c>
      <c r="C27" s="7" t="s">
        <v>268</v>
      </c>
      <c r="D27" s="7" t="s">
        <v>269</v>
      </c>
      <c r="E27" s="7" t="s">
        <v>267</v>
      </c>
      <c r="F27" s="7" t="s">
        <v>213</v>
      </c>
      <c r="G27" s="7" t="s">
        <v>214</v>
      </c>
      <c r="H27" s="7"/>
      <c r="I27" s="7" t="s">
        <v>215</v>
      </c>
      <c r="J27" s="7" t="s">
        <v>216</v>
      </c>
      <c r="K27" s="10">
        <v>0.36199999999999999</v>
      </c>
      <c r="L27" s="6">
        <v>0</v>
      </c>
      <c r="M27" s="6">
        <v>0</v>
      </c>
      <c r="N27" s="6">
        <v>0.36199999999999999</v>
      </c>
      <c r="O27" s="6">
        <v>0</v>
      </c>
      <c r="P27" s="6">
        <v>0</v>
      </c>
      <c r="Q27" s="1">
        <f t="shared" si="2"/>
        <v>1.81</v>
      </c>
      <c r="R27" s="47">
        <v>0.56999999999999995</v>
      </c>
      <c r="S27" s="51">
        <v>1</v>
      </c>
      <c r="T27" s="1">
        <f t="shared" si="3"/>
        <v>1.0316999999999998</v>
      </c>
      <c r="U27" s="30">
        <f t="shared" si="0"/>
        <v>5.2157813232239216E-4</v>
      </c>
      <c r="V27" s="8">
        <v>0</v>
      </c>
      <c r="W27" s="8">
        <f t="shared" si="1"/>
        <v>177.15614895378661</v>
      </c>
      <c r="X27" s="31">
        <f t="shared" si="4"/>
        <v>177.15614895378661</v>
      </c>
    </row>
    <row r="28" spans="1:24">
      <c r="A28" s="7" t="s">
        <v>444</v>
      </c>
      <c r="B28" s="7" t="s">
        <v>445</v>
      </c>
      <c r="C28" s="7" t="s">
        <v>329</v>
      </c>
      <c r="D28" s="7" t="s">
        <v>330</v>
      </c>
      <c r="E28" s="7" t="s">
        <v>328</v>
      </c>
      <c r="F28" s="7" t="s">
        <v>213</v>
      </c>
      <c r="G28" s="7" t="s">
        <v>331</v>
      </c>
      <c r="H28" s="7" t="s">
        <v>332</v>
      </c>
      <c r="I28" s="7" t="s">
        <v>333</v>
      </c>
      <c r="J28" s="7" t="s">
        <v>334</v>
      </c>
      <c r="K28" s="10">
        <v>0.58199999999999996</v>
      </c>
      <c r="L28" s="6">
        <v>0.58199999999999996</v>
      </c>
      <c r="M28" s="6">
        <v>0</v>
      </c>
      <c r="N28" s="6">
        <v>0</v>
      </c>
      <c r="O28" s="6">
        <v>0</v>
      </c>
      <c r="P28" s="6">
        <v>0</v>
      </c>
      <c r="Q28" s="1">
        <f t="shared" si="2"/>
        <v>2.9099999999999997</v>
      </c>
      <c r="R28" s="47">
        <v>0.56999999999999995</v>
      </c>
      <c r="S28" s="51">
        <v>1</v>
      </c>
      <c r="T28" s="1">
        <f t="shared" si="3"/>
        <v>1.6586999999999996</v>
      </c>
      <c r="U28" s="30">
        <f t="shared" si="0"/>
        <v>8.3855931771169116E-4</v>
      </c>
      <c r="V28" s="8">
        <v>0</v>
      </c>
      <c r="W28" s="8">
        <f t="shared" si="1"/>
        <v>284.82010688150217</v>
      </c>
      <c r="X28" s="31">
        <f t="shared" si="4"/>
        <v>284.82010688150217</v>
      </c>
    </row>
    <row r="29" spans="1:24">
      <c r="A29" s="7" t="s">
        <v>446</v>
      </c>
      <c r="B29" s="7" t="s">
        <v>447</v>
      </c>
      <c r="C29" s="7" t="s">
        <v>448</v>
      </c>
      <c r="D29" s="7"/>
      <c r="E29" s="7" t="s">
        <v>447</v>
      </c>
      <c r="F29" s="7" t="s">
        <v>213</v>
      </c>
      <c r="G29" s="7" t="s">
        <v>214</v>
      </c>
      <c r="H29" s="7"/>
      <c r="I29" s="7" t="s">
        <v>215</v>
      </c>
      <c r="J29" s="7" t="s">
        <v>216</v>
      </c>
      <c r="K29" s="1">
        <v>2.5999999999999999E-2</v>
      </c>
      <c r="L29" s="6">
        <v>0</v>
      </c>
      <c r="M29" s="6">
        <v>0</v>
      </c>
      <c r="N29" s="6">
        <v>2.5999999999999999E-2</v>
      </c>
      <c r="O29" s="6">
        <v>0</v>
      </c>
      <c r="P29" s="6">
        <v>0</v>
      </c>
      <c r="Q29" s="1">
        <f t="shared" si="2"/>
        <v>0.13</v>
      </c>
      <c r="R29" s="47">
        <v>0.76</v>
      </c>
      <c r="S29" s="51">
        <v>0.2</v>
      </c>
      <c r="T29" s="1">
        <f t="shared" si="3"/>
        <v>1.976E-2</v>
      </c>
      <c r="U29" s="30">
        <f t="shared" si="0"/>
        <v>9.9897100849960946E-6</v>
      </c>
      <c r="V29" s="8">
        <v>0</v>
      </c>
      <c r="W29" s="8">
        <f t="shared" si="1"/>
        <v>3.3930459468128564</v>
      </c>
      <c r="X29" s="31">
        <f t="shared" si="4"/>
        <v>10</v>
      </c>
    </row>
    <row r="30" spans="1:24">
      <c r="A30" s="7" t="s">
        <v>449</v>
      </c>
      <c r="B30" s="7" t="s">
        <v>450</v>
      </c>
      <c r="C30" s="7" t="s">
        <v>451</v>
      </c>
      <c r="D30" s="7" t="s">
        <v>452</v>
      </c>
      <c r="E30" s="7"/>
      <c r="F30" s="7"/>
      <c r="G30" s="7" t="s">
        <v>453</v>
      </c>
      <c r="H30" s="7" t="s">
        <v>454</v>
      </c>
      <c r="I30" s="7" t="s">
        <v>455</v>
      </c>
      <c r="J30" s="7" t="s">
        <v>456</v>
      </c>
      <c r="K30" s="1">
        <v>1.6140000000000001</v>
      </c>
      <c r="L30" s="6">
        <v>0</v>
      </c>
      <c r="M30" s="6">
        <v>0.5</v>
      </c>
      <c r="N30" s="6">
        <v>1.1140000000000001</v>
      </c>
      <c r="O30" s="6">
        <v>0</v>
      </c>
      <c r="P30" s="6">
        <v>0</v>
      </c>
      <c r="Q30" s="1">
        <f t="shared" si="2"/>
        <v>45.57</v>
      </c>
      <c r="R30" s="47">
        <v>0.76</v>
      </c>
      <c r="S30" s="51">
        <v>0.2</v>
      </c>
      <c r="T30" s="1">
        <f t="shared" si="3"/>
        <v>6.9266400000000008</v>
      </c>
      <c r="U30" s="30">
        <f t="shared" si="0"/>
        <v>3.501777604409785E-3</v>
      </c>
      <c r="V30" s="8">
        <v>0</v>
      </c>
      <c r="W30" s="8">
        <f t="shared" si="1"/>
        <v>1189.3931061250912</v>
      </c>
      <c r="X30" s="31">
        <f t="shared" si="4"/>
        <v>1189.3931061250912</v>
      </c>
    </row>
    <row r="31" spans="1:24">
      <c r="A31" s="7" t="s">
        <v>457</v>
      </c>
      <c r="B31" s="7" t="s">
        <v>458</v>
      </c>
      <c r="C31" s="7" t="s">
        <v>459</v>
      </c>
      <c r="D31" s="7" t="s">
        <v>460</v>
      </c>
      <c r="E31" s="7" t="s">
        <v>458</v>
      </c>
      <c r="F31" s="7" t="s">
        <v>213</v>
      </c>
      <c r="G31" s="7" t="s">
        <v>214</v>
      </c>
      <c r="H31" s="7"/>
      <c r="I31" s="7" t="s">
        <v>215</v>
      </c>
      <c r="J31" s="7" t="s">
        <v>216</v>
      </c>
      <c r="K31" s="1">
        <v>0.84</v>
      </c>
      <c r="L31" s="6">
        <v>0</v>
      </c>
      <c r="M31" s="6">
        <v>0</v>
      </c>
      <c r="N31" s="6">
        <v>0.84</v>
      </c>
      <c r="O31" s="6">
        <v>0</v>
      </c>
      <c r="P31" s="6">
        <v>0</v>
      </c>
      <c r="Q31" s="1">
        <f t="shared" si="2"/>
        <v>4.2</v>
      </c>
      <c r="R31" s="47">
        <v>0.76</v>
      </c>
      <c r="S31" s="51">
        <v>0.1</v>
      </c>
      <c r="T31" s="1">
        <f t="shared" si="3"/>
        <v>0.31920000000000004</v>
      </c>
      <c r="U31" s="30">
        <f t="shared" si="0"/>
        <v>1.6137223983455232E-4</v>
      </c>
      <c r="V31" s="8">
        <v>0</v>
      </c>
      <c r="W31" s="8">
        <f t="shared" si="1"/>
        <v>54.810742217746146</v>
      </c>
      <c r="X31" s="31">
        <f t="shared" si="4"/>
        <v>54.810742217746146</v>
      </c>
    </row>
    <row r="32" spans="1:24">
      <c r="A32" s="7" t="s">
        <v>461</v>
      </c>
      <c r="B32" s="7" t="s">
        <v>445</v>
      </c>
      <c r="C32" s="7" t="s">
        <v>462</v>
      </c>
      <c r="D32" s="7"/>
      <c r="E32" s="7" t="s">
        <v>463</v>
      </c>
      <c r="F32" s="7" t="s">
        <v>464</v>
      </c>
      <c r="G32" s="7" t="s">
        <v>465</v>
      </c>
      <c r="H32" s="7"/>
      <c r="I32" s="7" t="s">
        <v>466</v>
      </c>
      <c r="J32" s="7" t="s">
        <v>467</v>
      </c>
      <c r="K32" s="1">
        <v>4.8869999999999996</v>
      </c>
      <c r="L32" s="6">
        <v>4.8869999999999996</v>
      </c>
      <c r="M32" s="6">
        <v>0</v>
      </c>
      <c r="N32" s="6">
        <v>0</v>
      </c>
      <c r="O32" s="6">
        <v>0</v>
      </c>
      <c r="P32" s="6">
        <v>0</v>
      </c>
      <c r="Q32" s="1">
        <f t="shared" si="2"/>
        <v>24.434999999999999</v>
      </c>
      <c r="R32" s="47">
        <v>0.76</v>
      </c>
      <c r="S32" s="51">
        <v>0.6</v>
      </c>
      <c r="T32" s="1">
        <f t="shared" si="3"/>
        <v>11.142359999999998</v>
      </c>
      <c r="U32" s="30">
        <f t="shared" si="0"/>
        <v>5.6330438290818352E-3</v>
      </c>
      <c r="V32" s="8">
        <v>0</v>
      </c>
      <c r="W32" s="8">
        <f t="shared" si="1"/>
        <v>1913.2864087008952</v>
      </c>
      <c r="X32" s="31">
        <f t="shared" si="4"/>
        <v>1913.2864087008952</v>
      </c>
    </row>
    <row r="33" spans="1:24">
      <c r="A33" s="7" t="s">
        <v>468</v>
      </c>
      <c r="B33" s="7" t="s">
        <v>469</v>
      </c>
      <c r="C33" s="7" t="s">
        <v>470</v>
      </c>
      <c r="D33" s="7" t="s">
        <v>471</v>
      </c>
      <c r="E33" s="7" t="s">
        <v>469</v>
      </c>
      <c r="F33" s="7" t="s">
        <v>213</v>
      </c>
      <c r="G33" s="7" t="s">
        <v>472</v>
      </c>
      <c r="H33" s="7" t="s">
        <v>473</v>
      </c>
      <c r="I33" s="7" t="s">
        <v>474</v>
      </c>
      <c r="J33" s="7" t="s">
        <v>340</v>
      </c>
      <c r="K33" s="1">
        <v>0.94399999999999995</v>
      </c>
      <c r="L33" s="6">
        <v>0</v>
      </c>
      <c r="M33" s="6">
        <v>0.5</v>
      </c>
      <c r="N33" s="6">
        <v>0.44400000000000001</v>
      </c>
      <c r="O33" s="6">
        <v>0</v>
      </c>
      <c r="P33" s="6">
        <v>0</v>
      </c>
      <c r="Q33" s="1">
        <f t="shared" si="2"/>
        <v>42.22</v>
      </c>
      <c r="R33" s="47">
        <v>0.76</v>
      </c>
      <c r="S33" s="51">
        <v>0.1</v>
      </c>
      <c r="T33" s="1">
        <f t="shared" si="3"/>
        <v>3.2087200000000005</v>
      </c>
      <c r="U33" s="30">
        <f t="shared" si="0"/>
        <v>1.6221752299559044E-3</v>
      </c>
      <c r="V33" s="8">
        <v>0</v>
      </c>
      <c r="W33" s="8">
        <f t="shared" si="1"/>
        <v>550.9784610555339</v>
      </c>
      <c r="X33" s="31">
        <f t="shared" si="4"/>
        <v>550.9784610555339</v>
      </c>
    </row>
    <row r="34" spans="1:24">
      <c r="A34" s="7" t="s">
        <v>475</v>
      </c>
      <c r="B34" s="7" t="s">
        <v>476</v>
      </c>
      <c r="C34" s="7" t="s">
        <v>477</v>
      </c>
      <c r="D34" s="7" t="s">
        <v>478</v>
      </c>
      <c r="E34" s="7" t="s">
        <v>476</v>
      </c>
      <c r="F34" s="7" t="s">
        <v>213</v>
      </c>
      <c r="G34" s="7" t="s">
        <v>479</v>
      </c>
      <c r="H34" s="7" t="s">
        <v>480</v>
      </c>
      <c r="I34" s="7" t="s">
        <v>481</v>
      </c>
      <c r="J34" s="7" t="s">
        <v>443</v>
      </c>
      <c r="K34" s="1">
        <v>4.7839999999999998</v>
      </c>
      <c r="L34" s="6">
        <v>1.6</v>
      </c>
      <c r="M34" s="6">
        <v>0.5</v>
      </c>
      <c r="N34" s="6">
        <f>K34-2.1</f>
        <v>2.6839999999999997</v>
      </c>
      <c r="O34" s="6">
        <v>0</v>
      </c>
      <c r="P34" s="6">
        <v>0</v>
      </c>
      <c r="Q34" s="1">
        <f t="shared" si="2"/>
        <v>61.42</v>
      </c>
      <c r="R34" s="47">
        <v>0.76</v>
      </c>
      <c r="S34" s="51">
        <v>0.5</v>
      </c>
      <c r="T34" s="1">
        <f t="shared" si="3"/>
        <v>23.339600000000001</v>
      </c>
      <c r="U34" s="30">
        <f t="shared" si="0"/>
        <v>1.1799384488855003E-2</v>
      </c>
      <c r="V34" s="8">
        <v>0</v>
      </c>
      <c r="W34" s="8">
        <f t="shared" si="1"/>
        <v>4007.7092702547238</v>
      </c>
      <c r="X34" s="31">
        <f t="shared" si="4"/>
        <v>4007.7092702547238</v>
      </c>
    </row>
    <row r="35" spans="1:24">
      <c r="A35" s="7" t="s">
        <v>482</v>
      </c>
      <c r="B35" s="7" t="s">
        <v>445</v>
      </c>
      <c r="C35" s="7" t="s">
        <v>483</v>
      </c>
      <c r="D35" s="7"/>
      <c r="E35" s="7" t="s">
        <v>364</v>
      </c>
      <c r="F35" s="7" t="s">
        <v>213</v>
      </c>
      <c r="G35" s="7" t="s">
        <v>484</v>
      </c>
      <c r="H35" s="7"/>
      <c r="I35" s="7" t="s">
        <v>485</v>
      </c>
      <c r="J35" s="7" t="s">
        <v>486</v>
      </c>
      <c r="K35" s="1">
        <v>4.7030000000000003</v>
      </c>
      <c r="L35" s="6">
        <v>4.7030000000000003</v>
      </c>
      <c r="M35" s="6">
        <v>0</v>
      </c>
      <c r="N35" s="6">
        <v>0</v>
      </c>
      <c r="O35" s="6">
        <v>0</v>
      </c>
      <c r="P35" s="6">
        <v>0</v>
      </c>
      <c r="Q35" s="1">
        <f t="shared" si="2"/>
        <v>23.515000000000001</v>
      </c>
      <c r="R35" s="47">
        <v>0.76</v>
      </c>
      <c r="S35" s="51">
        <v>0.5</v>
      </c>
      <c r="T35" s="1">
        <f t="shared" si="3"/>
        <v>8.9357000000000006</v>
      </c>
      <c r="U35" s="30">
        <f t="shared" si="0"/>
        <v>4.5174621663208302E-3</v>
      </c>
      <c r="V35" s="8">
        <v>0</v>
      </c>
      <c r="W35" s="8">
        <f t="shared" si="1"/>
        <v>1534.3745276789293</v>
      </c>
      <c r="X35" s="31">
        <f t="shared" si="4"/>
        <v>1534.3745276789293</v>
      </c>
    </row>
    <row r="36" spans="1:24">
      <c r="A36" s="7" t="s">
        <v>487</v>
      </c>
      <c r="B36" s="7" t="s">
        <v>445</v>
      </c>
      <c r="C36" s="7" t="s">
        <v>462</v>
      </c>
      <c r="D36" s="7"/>
      <c r="E36" s="7" t="s">
        <v>463</v>
      </c>
      <c r="F36" s="7" t="s">
        <v>464</v>
      </c>
      <c r="G36" s="7" t="s">
        <v>465</v>
      </c>
      <c r="H36" s="7"/>
      <c r="I36" s="7" t="s">
        <v>466</v>
      </c>
      <c r="J36" s="7" t="s">
        <v>467</v>
      </c>
      <c r="K36" s="1">
        <v>4.8289999999999997</v>
      </c>
      <c r="L36" s="6">
        <v>4.8289999999999997</v>
      </c>
      <c r="M36" s="6">
        <v>0</v>
      </c>
      <c r="N36" s="6">
        <v>0</v>
      </c>
      <c r="O36" s="6">
        <v>0</v>
      </c>
      <c r="P36" s="6">
        <v>0</v>
      </c>
      <c r="Q36" s="1">
        <f t="shared" si="2"/>
        <v>24.145</v>
      </c>
      <c r="R36" s="47">
        <v>0.76</v>
      </c>
      <c r="S36" s="51">
        <v>0.7</v>
      </c>
      <c r="T36" s="1">
        <f t="shared" si="3"/>
        <v>12.845140000000001</v>
      </c>
      <c r="U36" s="30">
        <f t="shared" si="0"/>
        <v>6.4938878846754417E-3</v>
      </c>
      <c r="V36" s="8">
        <v>0</v>
      </c>
      <c r="W36" s="8">
        <f t="shared" si="1"/>
        <v>2205.675618079134</v>
      </c>
      <c r="X36" s="31">
        <f t="shared" si="4"/>
        <v>2205.675618079134</v>
      </c>
    </row>
    <row r="37" spans="1:24">
      <c r="A37" s="7" t="s">
        <v>488</v>
      </c>
      <c r="B37" s="7" t="s">
        <v>489</v>
      </c>
      <c r="C37" s="7" t="s">
        <v>490</v>
      </c>
      <c r="D37" s="7"/>
      <c r="E37" s="7" t="s">
        <v>489</v>
      </c>
      <c r="F37" s="7" t="s">
        <v>491</v>
      </c>
      <c r="G37" s="7" t="s">
        <v>492</v>
      </c>
      <c r="H37" s="7"/>
      <c r="I37" s="7" t="s">
        <v>493</v>
      </c>
      <c r="J37" s="7" t="s">
        <v>456</v>
      </c>
      <c r="K37" s="1">
        <v>5.306</v>
      </c>
      <c r="L37" s="6">
        <f>K37-1.5</f>
        <v>3.806</v>
      </c>
      <c r="M37" s="6">
        <v>0.5</v>
      </c>
      <c r="N37" s="6">
        <v>1</v>
      </c>
      <c r="O37" s="6">
        <v>0</v>
      </c>
      <c r="P37" s="6">
        <v>0</v>
      </c>
      <c r="Q37" s="1">
        <f t="shared" si="2"/>
        <v>64.03</v>
      </c>
      <c r="R37" s="47">
        <v>0.76</v>
      </c>
      <c r="S37" s="51">
        <v>0.3</v>
      </c>
      <c r="T37" s="1">
        <f t="shared" si="3"/>
        <v>14.598840000000001</v>
      </c>
      <c r="U37" s="30">
        <f t="shared" si="0"/>
        <v>7.3804746547188457E-3</v>
      </c>
      <c r="V37" s="8">
        <v>0</v>
      </c>
      <c r="W37" s="8">
        <f t="shared" si="1"/>
        <v>2506.8084458587755</v>
      </c>
      <c r="X37" s="31">
        <f t="shared" si="4"/>
        <v>2506.8084458587755</v>
      </c>
    </row>
    <row r="38" spans="1:24">
      <c r="A38" s="7" t="s">
        <v>494</v>
      </c>
      <c r="B38" s="7" t="s">
        <v>218</v>
      </c>
      <c r="C38" s="7" t="s">
        <v>495</v>
      </c>
      <c r="D38" s="7" t="s">
        <v>496</v>
      </c>
      <c r="E38" s="7" t="s">
        <v>497</v>
      </c>
      <c r="F38" s="7" t="s">
        <v>213</v>
      </c>
      <c r="G38" s="7" t="s">
        <v>498</v>
      </c>
      <c r="H38" s="7" t="s">
        <v>499</v>
      </c>
      <c r="I38" s="7" t="s">
        <v>500</v>
      </c>
      <c r="J38" s="7" t="s">
        <v>501</v>
      </c>
      <c r="K38" s="10">
        <v>18.242000000000001</v>
      </c>
      <c r="L38" s="6">
        <v>18.242000000000001</v>
      </c>
      <c r="M38" s="6">
        <v>0</v>
      </c>
      <c r="N38" s="6">
        <v>0</v>
      </c>
      <c r="O38" s="6">
        <v>0</v>
      </c>
      <c r="P38" s="6">
        <v>0</v>
      </c>
      <c r="Q38" s="1">
        <f t="shared" si="2"/>
        <v>91.210000000000008</v>
      </c>
      <c r="R38" s="47">
        <v>1</v>
      </c>
      <c r="S38" s="51">
        <v>1</v>
      </c>
      <c r="T38" s="1">
        <f t="shared" si="3"/>
        <v>91.210000000000008</v>
      </c>
      <c r="U38" s="30">
        <f t="shared" si="0"/>
        <v>4.6111409759741588E-2</v>
      </c>
      <c r="V38" s="8">
        <v>0</v>
      </c>
      <c r="W38" s="8">
        <f t="shared" si="1"/>
        <v>15661.929190728777</v>
      </c>
      <c r="X38" s="31">
        <f t="shared" si="4"/>
        <v>15661.929190728777</v>
      </c>
    </row>
    <row r="39" spans="1:24">
      <c r="A39" s="7" t="s">
        <v>502</v>
      </c>
      <c r="B39" s="7" t="s">
        <v>503</v>
      </c>
      <c r="C39" s="7" t="s">
        <v>504</v>
      </c>
      <c r="D39" s="7" t="s">
        <v>505</v>
      </c>
      <c r="E39" s="7" t="s">
        <v>503</v>
      </c>
      <c r="F39" s="7" t="s">
        <v>213</v>
      </c>
      <c r="G39" s="7" t="s">
        <v>506</v>
      </c>
      <c r="H39" s="7"/>
      <c r="I39" s="7" t="s">
        <v>507</v>
      </c>
      <c r="J39" s="7" t="s">
        <v>340</v>
      </c>
      <c r="K39" s="1">
        <v>11.593</v>
      </c>
      <c r="L39" s="6">
        <v>9.5</v>
      </c>
      <c r="M39" s="6">
        <v>0.5</v>
      </c>
      <c r="N39" s="6">
        <v>1.593</v>
      </c>
      <c r="O39" s="6">
        <v>0</v>
      </c>
      <c r="P39" s="6"/>
      <c r="Q39" s="1">
        <f t="shared" si="2"/>
        <v>95.465000000000003</v>
      </c>
      <c r="R39" s="47">
        <v>0.76</v>
      </c>
      <c r="S39" s="51">
        <v>0.2</v>
      </c>
      <c r="T39" s="1">
        <f t="shared" si="3"/>
        <v>14.510680000000001</v>
      </c>
      <c r="U39" s="30">
        <f t="shared" si="0"/>
        <v>7.3359051789550168E-3</v>
      </c>
      <c r="V39" s="8">
        <v>0</v>
      </c>
      <c r="W39" s="8">
        <f t="shared" si="1"/>
        <v>2491.6702408653027</v>
      </c>
      <c r="X39" s="31">
        <f t="shared" si="4"/>
        <v>2491.6702408653027</v>
      </c>
    </row>
    <row r="40" spans="1:24">
      <c r="A40" s="7" t="s">
        <v>508</v>
      </c>
      <c r="B40" s="7" t="s">
        <v>509</v>
      </c>
      <c r="C40" s="7" t="s">
        <v>510</v>
      </c>
      <c r="D40" s="7" t="s">
        <v>511</v>
      </c>
      <c r="E40" s="7" t="s">
        <v>509</v>
      </c>
      <c r="F40" s="7" t="s">
        <v>213</v>
      </c>
      <c r="G40" s="7" t="s">
        <v>214</v>
      </c>
      <c r="H40" s="7"/>
      <c r="I40" s="7" t="s">
        <v>215</v>
      </c>
      <c r="J40" s="7" t="s">
        <v>216</v>
      </c>
      <c r="K40" s="1">
        <v>2.96</v>
      </c>
      <c r="L40" s="6">
        <v>0</v>
      </c>
      <c r="M40" s="6">
        <v>0.5</v>
      </c>
      <c r="N40" s="6">
        <v>2.46</v>
      </c>
      <c r="O40" s="6">
        <v>0</v>
      </c>
      <c r="P40" s="6">
        <v>0</v>
      </c>
      <c r="Q40" s="1">
        <f t="shared" si="2"/>
        <v>52.3</v>
      </c>
      <c r="R40" s="47">
        <v>0.76</v>
      </c>
      <c r="S40" s="51">
        <v>0.2</v>
      </c>
      <c r="T40" s="1">
        <f t="shared" si="3"/>
        <v>7.9496000000000002</v>
      </c>
      <c r="U40" s="30">
        <f t="shared" si="0"/>
        <v>4.0189372111176591E-3</v>
      </c>
      <c r="V40" s="8">
        <v>0</v>
      </c>
      <c r="W40" s="8">
        <f t="shared" si="1"/>
        <v>1365.0484847562491</v>
      </c>
      <c r="X40" s="31">
        <f t="shared" si="4"/>
        <v>1365.0484847562491</v>
      </c>
    </row>
    <row r="41" spans="1:24">
      <c r="A41" s="7" t="s">
        <v>512</v>
      </c>
      <c r="B41" s="7" t="s">
        <v>513</v>
      </c>
      <c r="C41" s="7" t="s">
        <v>514</v>
      </c>
      <c r="D41" s="7" t="s">
        <v>515</v>
      </c>
      <c r="E41" s="7" t="s">
        <v>513</v>
      </c>
      <c r="F41" s="7" t="s">
        <v>213</v>
      </c>
      <c r="G41" s="7" t="s">
        <v>214</v>
      </c>
      <c r="H41" s="7"/>
      <c r="I41" s="7" t="s">
        <v>215</v>
      </c>
      <c r="J41" s="7" t="s">
        <v>216</v>
      </c>
      <c r="K41" s="10">
        <v>4.9030000000000005</v>
      </c>
      <c r="L41" s="6">
        <v>0</v>
      </c>
      <c r="M41" s="6">
        <v>0.5</v>
      </c>
      <c r="N41" s="6">
        <v>4.4029999999999996</v>
      </c>
      <c r="O41" s="6">
        <v>0</v>
      </c>
      <c r="P41" s="6">
        <v>0</v>
      </c>
      <c r="Q41" s="1">
        <f t="shared" si="2"/>
        <v>62.015000000000001</v>
      </c>
      <c r="R41" s="47">
        <v>0.76</v>
      </c>
      <c r="S41" s="51">
        <v>0.5</v>
      </c>
      <c r="T41" s="1">
        <f t="shared" si="3"/>
        <v>23.5657</v>
      </c>
      <c r="U41" s="30">
        <f t="shared" si="0"/>
        <v>1.1913689825404476E-2</v>
      </c>
      <c r="V41" s="8">
        <v>0</v>
      </c>
      <c r="W41" s="8">
        <f t="shared" si="1"/>
        <v>4046.5335459922935</v>
      </c>
      <c r="X41" s="31">
        <f t="shared" si="4"/>
        <v>4046.5335459922935</v>
      </c>
    </row>
    <row r="42" spans="1:24">
      <c r="A42" s="7" t="s">
        <v>516</v>
      </c>
      <c r="B42" s="7" t="s">
        <v>517</v>
      </c>
      <c r="C42" s="7" t="s">
        <v>518</v>
      </c>
      <c r="D42" s="7"/>
      <c r="E42" s="7" t="s">
        <v>517</v>
      </c>
      <c r="F42" s="7" t="s">
        <v>213</v>
      </c>
      <c r="G42" s="7" t="s">
        <v>214</v>
      </c>
      <c r="H42" s="7"/>
      <c r="I42" s="7" t="s">
        <v>215</v>
      </c>
      <c r="J42" s="7" t="s">
        <v>216</v>
      </c>
      <c r="K42" s="10">
        <v>1.3919999999999999</v>
      </c>
      <c r="L42" s="6">
        <v>0</v>
      </c>
      <c r="M42" s="6">
        <v>0.5</v>
      </c>
      <c r="N42" s="11">
        <f>K42-0.5</f>
        <v>0.8919999999999999</v>
      </c>
      <c r="O42" s="6">
        <v>0</v>
      </c>
      <c r="P42" s="6">
        <v>0</v>
      </c>
      <c r="Q42" s="1">
        <f t="shared" si="2"/>
        <v>44.46</v>
      </c>
      <c r="R42" s="47">
        <v>0.76</v>
      </c>
      <c r="S42" s="51">
        <v>0.7</v>
      </c>
      <c r="T42" s="1">
        <f t="shared" si="3"/>
        <v>23.652719999999999</v>
      </c>
      <c r="U42" s="30">
        <f t="shared" si="0"/>
        <v>1.1957682971740324E-2</v>
      </c>
      <c r="V42" s="8">
        <v>0</v>
      </c>
      <c r="W42" s="8">
        <f t="shared" si="1"/>
        <v>4061.4759983349886</v>
      </c>
      <c r="X42" s="31">
        <f t="shared" si="4"/>
        <v>4061.4759983349886</v>
      </c>
    </row>
    <row r="43" spans="1:24">
      <c r="A43" s="7" t="s">
        <v>519</v>
      </c>
      <c r="B43" s="7" t="s">
        <v>520</v>
      </c>
      <c r="C43" s="7" t="s">
        <v>521</v>
      </c>
      <c r="D43" s="7"/>
      <c r="E43" s="7" t="s">
        <v>520</v>
      </c>
      <c r="F43" s="7" t="s">
        <v>213</v>
      </c>
      <c r="G43" s="7" t="s">
        <v>243</v>
      </c>
      <c r="H43" s="7"/>
      <c r="I43" s="7" t="s">
        <v>244</v>
      </c>
      <c r="J43" s="7" t="s">
        <v>245</v>
      </c>
      <c r="K43" s="10">
        <v>4.7790000000000008</v>
      </c>
      <c r="L43" s="6">
        <v>0</v>
      </c>
      <c r="M43" s="6">
        <v>0.5</v>
      </c>
      <c r="N43" s="6">
        <v>4.2789999999999999</v>
      </c>
      <c r="O43" s="6">
        <v>0</v>
      </c>
      <c r="P43" s="6">
        <v>0</v>
      </c>
      <c r="Q43" s="1">
        <f t="shared" si="2"/>
        <v>61.394999999999996</v>
      </c>
      <c r="R43" s="47">
        <v>0.76</v>
      </c>
      <c r="S43" s="51">
        <v>0.6</v>
      </c>
      <c r="T43" s="1">
        <f t="shared" si="3"/>
        <v>27.996119999999998</v>
      </c>
      <c r="U43" s="30">
        <f t="shared" si="0"/>
        <v>1.4153498092346195E-2</v>
      </c>
      <c r="V43" s="8">
        <v>0</v>
      </c>
      <c r="W43" s="8">
        <f t="shared" si="1"/>
        <v>4807.2935977978914</v>
      </c>
      <c r="X43" s="31">
        <f t="shared" si="4"/>
        <v>4807.2935977978914</v>
      </c>
    </row>
    <row r="44" spans="1:24">
      <c r="A44" s="7" t="s">
        <v>522</v>
      </c>
      <c r="B44" s="7" t="s">
        <v>523</v>
      </c>
      <c r="C44" s="7" t="s">
        <v>524</v>
      </c>
      <c r="D44" s="7" t="s">
        <v>525</v>
      </c>
      <c r="E44" s="7" t="s">
        <v>523</v>
      </c>
      <c r="F44" s="7" t="s">
        <v>380</v>
      </c>
      <c r="G44" s="7" t="s">
        <v>214</v>
      </c>
      <c r="H44" s="7"/>
      <c r="I44" s="7" t="s">
        <v>215</v>
      </c>
      <c r="J44" s="7" t="s">
        <v>216</v>
      </c>
      <c r="K44" s="10">
        <v>1.415</v>
      </c>
      <c r="L44" s="6">
        <v>0</v>
      </c>
      <c r="M44" s="6">
        <v>0.5</v>
      </c>
      <c r="N44" s="11">
        <f>K44-0.5</f>
        <v>0.91500000000000004</v>
      </c>
      <c r="O44" s="6">
        <v>0</v>
      </c>
      <c r="P44" s="6">
        <v>0</v>
      </c>
      <c r="Q44" s="1">
        <f t="shared" si="2"/>
        <v>44.575000000000003</v>
      </c>
      <c r="R44" s="47">
        <v>0.76</v>
      </c>
      <c r="S44" s="51">
        <v>0.6</v>
      </c>
      <c r="T44" s="1">
        <f t="shared" si="3"/>
        <v>20.3262</v>
      </c>
      <c r="U44" s="30">
        <f t="shared" si="0"/>
        <v>1.0275953700893098E-2</v>
      </c>
      <c r="V44" s="8">
        <v>0</v>
      </c>
      <c r="W44" s="8">
        <f t="shared" si="1"/>
        <v>3490.2697633657631</v>
      </c>
      <c r="X44" s="31">
        <f t="shared" si="4"/>
        <v>3490.2697633657631</v>
      </c>
    </row>
    <row r="45" spans="1:24">
      <c r="A45" s="7" t="s">
        <v>526</v>
      </c>
      <c r="B45" s="7" t="s">
        <v>527</v>
      </c>
      <c r="C45" s="7" t="s">
        <v>528</v>
      </c>
      <c r="D45" s="7" t="s">
        <v>529</v>
      </c>
      <c r="E45" s="7" t="s">
        <v>527</v>
      </c>
      <c r="F45" s="7" t="s">
        <v>530</v>
      </c>
      <c r="G45" s="7" t="s">
        <v>531</v>
      </c>
      <c r="H45" s="7" t="s">
        <v>532</v>
      </c>
      <c r="I45" s="7" t="s">
        <v>533</v>
      </c>
      <c r="J45" s="7" t="s">
        <v>443</v>
      </c>
      <c r="K45" s="1">
        <v>4.88</v>
      </c>
      <c r="L45" s="6">
        <v>1.5</v>
      </c>
      <c r="M45" s="6">
        <v>0.5</v>
      </c>
      <c r="N45" s="6">
        <v>2.88</v>
      </c>
      <c r="O45" s="6">
        <v>0</v>
      </c>
      <c r="P45" s="6">
        <v>0</v>
      </c>
      <c r="Q45" s="1">
        <f t="shared" si="2"/>
        <v>61.9</v>
      </c>
      <c r="R45" s="47">
        <v>0.76</v>
      </c>
      <c r="S45" s="51">
        <v>0.7</v>
      </c>
      <c r="T45" s="1">
        <f t="shared" si="3"/>
        <v>32.930799999999998</v>
      </c>
      <c r="U45" s="30">
        <f t="shared" si="0"/>
        <v>1.6648236076264644E-2</v>
      </c>
      <c r="V45" s="8">
        <v>0</v>
      </c>
      <c r="W45" s="8">
        <f t="shared" si="1"/>
        <v>5654.6415721308094</v>
      </c>
      <c r="X45" s="31">
        <f t="shared" si="4"/>
        <v>5654.6415721308094</v>
      </c>
    </row>
    <row r="46" spans="1:24">
      <c r="A46" s="7" t="s">
        <v>534</v>
      </c>
      <c r="B46" s="7" t="s">
        <v>535</v>
      </c>
      <c r="C46" s="7" t="s">
        <v>536</v>
      </c>
      <c r="D46" s="7" t="s">
        <v>537</v>
      </c>
      <c r="E46" s="7"/>
      <c r="F46" s="7"/>
      <c r="G46" s="7" t="s">
        <v>538</v>
      </c>
      <c r="H46" s="7"/>
      <c r="I46" s="7" t="s">
        <v>539</v>
      </c>
      <c r="J46" s="7" t="s">
        <v>384</v>
      </c>
      <c r="K46" s="10">
        <v>12.126000000000001</v>
      </c>
      <c r="L46" s="6">
        <v>8.89</v>
      </c>
      <c r="M46" s="6">
        <v>0.5</v>
      </c>
      <c r="N46" s="11">
        <f>K46-8.89-0.5</f>
        <v>2.7360000000000007</v>
      </c>
      <c r="O46" s="6">
        <v>0</v>
      </c>
      <c r="P46" s="6">
        <v>0</v>
      </c>
      <c r="Q46" s="1">
        <f t="shared" si="2"/>
        <v>98.13000000000001</v>
      </c>
      <c r="R46" s="47">
        <v>0.85</v>
      </c>
      <c r="S46" s="51">
        <v>0.8</v>
      </c>
      <c r="T46" s="1">
        <f t="shared" si="3"/>
        <v>66.728400000000008</v>
      </c>
      <c r="U46" s="30">
        <f t="shared" si="0"/>
        <v>3.373468473864643E-2</v>
      </c>
      <c r="V46" s="8">
        <v>0</v>
      </c>
      <c r="W46" s="8">
        <f t="shared" si="1"/>
        <v>11458.123843993269</v>
      </c>
      <c r="X46" s="31">
        <f t="shared" si="4"/>
        <v>11458.123843993269</v>
      </c>
    </row>
    <row r="47" spans="1:24">
      <c r="A47" s="7" t="s">
        <v>540</v>
      </c>
      <c r="B47" s="7" t="s">
        <v>541</v>
      </c>
      <c r="C47" s="7" t="s">
        <v>542</v>
      </c>
      <c r="D47" s="7" t="s">
        <v>543</v>
      </c>
      <c r="E47" s="7" t="s">
        <v>541</v>
      </c>
      <c r="F47" s="7" t="s">
        <v>326</v>
      </c>
      <c r="G47" s="7" t="s">
        <v>544</v>
      </c>
      <c r="H47" s="7"/>
      <c r="I47" s="7" t="s">
        <v>545</v>
      </c>
      <c r="J47" s="7" t="s">
        <v>340</v>
      </c>
      <c r="K47" s="1">
        <v>4.8470000000000004</v>
      </c>
      <c r="L47" s="6">
        <v>0</v>
      </c>
      <c r="M47" s="6">
        <v>0.5</v>
      </c>
      <c r="N47" s="6">
        <v>4.3470000000000004</v>
      </c>
      <c r="O47" s="6">
        <v>0</v>
      </c>
      <c r="P47" s="6">
        <v>0</v>
      </c>
      <c r="Q47" s="1">
        <f t="shared" si="2"/>
        <v>61.734999999999999</v>
      </c>
      <c r="R47" s="47">
        <v>0.76</v>
      </c>
      <c r="S47" s="51">
        <v>0.5</v>
      </c>
      <c r="T47" s="1">
        <f t="shared" si="3"/>
        <v>23.459299999999999</v>
      </c>
      <c r="U47" s="30">
        <f t="shared" si="0"/>
        <v>1.1859899078792958E-2</v>
      </c>
      <c r="V47" s="8">
        <v>0</v>
      </c>
      <c r="W47" s="8">
        <f t="shared" si="1"/>
        <v>4028.2632985863784</v>
      </c>
      <c r="X47" s="31">
        <f t="shared" si="4"/>
        <v>4028.2632985863784</v>
      </c>
    </row>
    <row r="48" spans="1:24">
      <c r="A48" s="7" t="s">
        <v>546</v>
      </c>
      <c r="B48" s="7" t="s">
        <v>547</v>
      </c>
      <c r="C48" s="7" t="s">
        <v>548</v>
      </c>
      <c r="D48" s="7" t="s">
        <v>549</v>
      </c>
      <c r="E48" s="7" t="s">
        <v>547</v>
      </c>
      <c r="F48" s="7" t="s">
        <v>213</v>
      </c>
      <c r="G48" s="7" t="s">
        <v>214</v>
      </c>
      <c r="H48" s="7"/>
      <c r="I48" s="7" t="s">
        <v>215</v>
      </c>
      <c r="J48" s="7" t="s">
        <v>216</v>
      </c>
      <c r="K48" s="10">
        <v>8.0170000000000012</v>
      </c>
      <c r="L48" s="6">
        <v>0</v>
      </c>
      <c r="M48" s="6">
        <v>0.5</v>
      </c>
      <c r="N48" s="11">
        <f>K48-0.5</f>
        <v>7.5170000000000012</v>
      </c>
      <c r="O48" s="6">
        <v>0</v>
      </c>
      <c r="P48" s="6">
        <v>0</v>
      </c>
      <c r="Q48" s="1">
        <f t="shared" si="2"/>
        <v>77.585000000000008</v>
      </c>
      <c r="R48" s="47">
        <v>0.76</v>
      </c>
      <c r="S48" s="51">
        <v>0.4</v>
      </c>
      <c r="T48" s="1">
        <f t="shared" si="3"/>
        <v>23.585840000000005</v>
      </c>
      <c r="U48" s="30">
        <f t="shared" si="0"/>
        <v>1.1923871645298801E-2</v>
      </c>
      <c r="V48" s="8">
        <v>0</v>
      </c>
      <c r="W48" s="8">
        <f t="shared" si="1"/>
        <v>4049.9918428226997</v>
      </c>
      <c r="X48" s="31">
        <f t="shared" si="4"/>
        <v>4049.9918428226997</v>
      </c>
    </row>
    <row r="49" spans="1:24">
      <c r="A49" s="7" t="s">
        <v>550</v>
      </c>
      <c r="B49" s="7" t="s">
        <v>445</v>
      </c>
      <c r="C49" s="7" t="s">
        <v>232</v>
      </c>
      <c r="D49" s="7" t="s">
        <v>233</v>
      </c>
      <c r="E49" s="7" t="s">
        <v>231</v>
      </c>
      <c r="F49" s="7" t="s">
        <v>326</v>
      </c>
      <c r="G49" s="7" t="s">
        <v>551</v>
      </c>
      <c r="H49" s="7"/>
      <c r="I49" s="7" t="s">
        <v>236</v>
      </c>
      <c r="J49" s="7" t="s">
        <v>237</v>
      </c>
      <c r="K49" s="1">
        <v>9.8510000000000009</v>
      </c>
      <c r="L49" s="6">
        <v>9.8510000000000009</v>
      </c>
      <c r="M49" s="6">
        <v>0</v>
      </c>
      <c r="N49" s="6">
        <v>0</v>
      </c>
      <c r="O49" s="6">
        <v>0</v>
      </c>
      <c r="P49" s="6">
        <v>0</v>
      </c>
      <c r="Q49" s="1">
        <f t="shared" si="2"/>
        <v>49.255000000000003</v>
      </c>
      <c r="R49" s="47">
        <v>0.76</v>
      </c>
      <c r="S49" s="51">
        <v>0.4</v>
      </c>
      <c r="T49" s="1">
        <f t="shared" si="3"/>
        <v>14.973520000000002</v>
      </c>
      <c r="U49" s="30">
        <f t="shared" si="0"/>
        <v>7.5698949267151185E-3</v>
      </c>
      <c r="V49" s="8">
        <v>0</v>
      </c>
      <c r="W49" s="8">
        <f t="shared" si="1"/>
        <v>2571.1458170810347</v>
      </c>
      <c r="X49" s="31">
        <f t="shared" si="4"/>
        <v>2571.1458170810347</v>
      </c>
    </row>
    <row r="50" spans="1:24">
      <c r="A50" s="7" t="s">
        <v>552</v>
      </c>
      <c r="B50" s="7" t="s">
        <v>553</v>
      </c>
      <c r="C50" s="7" t="s">
        <v>554</v>
      </c>
      <c r="D50" s="7" t="s">
        <v>555</v>
      </c>
      <c r="E50" s="7" t="s">
        <v>556</v>
      </c>
      <c r="F50" s="7" t="s">
        <v>213</v>
      </c>
      <c r="G50" s="7" t="s">
        <v>557</v>
      </c>
      <c r="H50" s="7"/>
      <c r="I50" s="7" t="s">
        <v>558</v>
      </c>
      <c r="J50" s="7" t="s">
        <v>559</v>
      </c>
      <c r="K50" s="10">
        <v>14.551</v>
      </c>
      <c r="L50" s="6">
        <v>8.5510000000000002</v>
      </c>
      <c r="M50" s="6">
        <v>0.5</v>
      </c>
      <c r="N50" s="6">
        <v>5.5</v>
      </c>
      <c r="O50" s="6">
        <v>0</v>
      </c>
      <c r="P50" s="6">
        <v>0</v>
      </c>
      <c r="Q50" s="1">
        <f t="shared" si="2"/>
        <v>110.255</v>
      </c>
      <c r="R50" s="47">
        <v>1</v>
      </c>
      <c r="S50" s="51">
        <v>0.7</v>
      </c>
      <c r="T50" s="1">
        <f t="shared" si="3"/>
        <v>77.178499999999985</v>
      </c>
      <c r="U50" s="30">
        <f t="shared" si="0"/>
        <v>3.901775505034772E-2</v>
      </c>
      <c r="V50" s="8">
        <v>0</v>
      </c>
      <c r="W50" s="8">
        <f t="shared" si="1"/>
        <v>13252.540314073683</v>
      </c>
      <c r="X50" s="31">
        <f t="shared" si="4"/>
        <v>13252.540314073683</v>
      </c>
    </row>
    <row r="51" spans="1:24">
      <c r="A51" s="7" t="s">
        <v>560</v>
      </c>
      <c r="B51" s="7" t="s">
        <v>561</v>
      </c>
      <c r="C51" s="7" t="s">
        <v>528</v>
      </c>
      <c r="D51" s="7" t="s">
        <v>529</v>
      </c>
      <c r="E51" s="7" t="s">
        <v>527</v>
      </c>
      <c r="F51" s="7" t="s">
        <v>530</v>
      </c>
      <c r="G51" s="7" t="s">
        <v>531</v>
      </c>
      <c r="H51" s="7" t="s">
        <v>532</v>
      </c>
      <c r="I51" s="7" t="s">
        <v>533</v>
      </c>
      <c r="J51" s="7" t="s">
        <v>443</v>
      </c>
      <c r="K51" s="1">
        <v>4.8819999999999997</v>
      </c>
      <c r="L51" s="6">
        <v>4.8819999999999997</v>
      </c>
      <c r="M51" s="6">
        <v>0</v>
      </c>
      <c r="N51" s="6">
        <v>0</v>
      </c>
      <c r="O51" s="6">
        <v>0</v>
      </c>
      <c r="P51" s="6">
        <v>0</v>
      </c>
      <c r="Q51" s="1">
        <f t="shared" si="2"/>
        <v>24.409999999999997</v>
      </c>
      <c r="R51" s="47">
        <v>0.76</v>
      </c>
      <c r="S51" s="51">
        <v>0.8</v>
      </c>
      <c r="T51" s="1">
        <f t="shared" si="3"/>
        <v>14.841279999999998</v>
      </c>
      <c r="U51" s="30">
        <f t="shared" si="0"/>
        <v>7.5030407130693725E-3</v>
      </c>
      <c r="V51" s="8">
        <v>0</v>
      </c>
      <c r="W51" s="8">
        <f t="shared" si="1"/>
        <v>2548.4385095908247</v>
      </c>
      <c r="X51" s="31">
        <f t="shared" si="4"/>
        <v>2548.4385095908247</v>
      </c>
    </row>
    <row r="52" spans="1:24">
      <c r="A52" s="7" t="s">
        <v>562</v>
      </c>
      <c r="B52" s="7" t="s">
        <v>563</v>
      </c>
      <c r="C52" s="7" t="s">
        <v>564</v>
      </c>
      <c r="D52" s="7" t="s">
        <v>565</v>
      </c>
      <c r="E52" s="7" t="s">
        <v>566</v>
      </c>
      <c r="F52" s="7" t="s">
        <v>567</v>
      </c>
      <c r="G52" s="7" t="s">
        <v>243</v>
      </c>
      <c r="H52" s="7"/>
      <c r="I52" s="7" t="s">
        <v>244</v>
      </c>
      <c r="J52" s="7" t="s">
        <v>245</v>
      </c>
      <c r="K52" s="1">
        <v>4.9039999999999999</v>
      </c>
      <c r="L52" s="6">
        <v>0</v>
      </c>
      <c r="M52" s="6">
        <v>0.5</v>
      </c>
      <c r="N52" s="11">
        <f>K52-0.5</f>
        <v>4.4039999999999999</v>
      </c>
      <c r="O52" s="6">
        <v>0</v>
      </c>
      <c r="P52" s="6">
        <v>0</v>
      </c>
      <c r="Q52" s="1">
        <f t="shared" si="2"/>
        <v>62.019999999999996</v>
      </c>
      <c r="R52" s="47">
        <v>0.76</v>
      </c>
      <c r="S52" s="51">
        <v>0.8</v>
      </c>
      <c r="T52" s="1">
        <f t="shared" si="3"/>
        <v>37.708159999999999</v>
      </c>
      <c r="U52" s="30">
        <f t="shared" si="0"/>
        <v>1.9063440599121777E-2</v>
      </c>
      <c r="V52" s="8">
        <v>0</v>
      </c>
      <c r="W52" s="8">
        <f t="shared" si="1"/>
        <v>6474.9756806564101</v>
      </c>
      <c r="X52" s="31">
        <f t="shared" si="4"/>
        <v>6474.9756806564101</v>
      </c>
    </row>
    <row r="53" spans="1:24">
      <c r="A53" s="7" t="s">
        <v>568</v>
      </c>
      <c r="B53" s="7" t="s">
        <v>569</v>
      </c>
      <c r="C53" s="7" t="s">
        <v>570</v>
      </c>
      <c r="D53" s="7" t="s">
        <v>571</v>
      </c>
      <c r="E53" s="7"/>
      <c r="F53" s="7"/>
      <c r="G53" s="7" t="s">
        <v>572</v>
      </c>
      <c r="H53" s="7" t="s">
        <v>573</v>
      </c>
      <c r="I53" s="7" t="s">
        <v>574</v>
      </c>
      <c r="J53" s="7" t="s">
        <v>575</v>
      </c>
      <c r="K53" s="1">
        <v>5.008</v>
      </c>
      <c r="L53" s="6">
        <v>0</v>
      </c>
      <c r="M53" s="6">
        <v>0.5</v>
      </c>
      <c r="N53" s="11">
        <f>K53-0.5</f>
        <v>4.508</v>
      </c>
      <c r="O53" s="6">
        <v>0</v>
      </c>
      <c r="P53" s="6">
        <v>0</v>
      </c>
      <c r="Q53" s="1">
        <f t="shared" si="2"/>
        <v>62.54</v>
      </c>
      <c r="R53" s="47">
        <v>0.76</v>
      </c>
      <c r="S53" s="51">
        <v>0.7</v>
      </c>
      <c r="T53" s="1">
        <f t="shared" si="3"/>
        <v>33.271279999999997</v>
      </c>
      <c r="U53" s="30">
        <f t="shared" si="0"/>
        <v>1.68203664654215E-2</v>
      </c>
      <c r="V53" s="8">
        <v>0</v>
      </c>
      <c r="W53" s="8">
        <f t="shared" si="1"/>
        <v>5713.1063638297392</v>
      </c>
      <c r="X53" s="31">
        <f t="shared" si="4"/>
        <v>5713.1063638297392</v>
      </c>
    </row>
    <row r="54" spans="1:24">
      <c r="A54" s="7" t="s">
        <v>576</v>
      </c>
      <c r="B54" s="7" t="s">
        <v>577</v>
      </c>
      <c r="C54" s="7" t="s">
        <v>578</v>
      </c>
      <c r="D54" s="7" t="s">
        <v>579</v>
      </c>
      <c r="E54" s="7" t="s">
        <v>580</v>
      </c>
      <c r="F54" s="7" t="s">
        <v>581</v>
      </c>
      <c r="G54" s="7" t="s">
        <v>582</v>
      </c>
      <c r="H54" s="7"/>
      <c r="I54" s="7" t="s">
        <v>583</v>
      </c>
      <c r="J54" s="7" t="s">
        <v>575</v>
      </c>
      <c r="K54" s="10">
        <v>4.891</v>
      </c>
      <c r="L54" s="6">
        <v>0</v>
      </c>
      <c r="M54" s="6">
        <v>0.5</v>
      </c>
      <c r="N54" s="11">
        <f>K54-0.5</f>
        <v>4.391</v>
      </c>
      <c r="O54" s="6">
        <v>0</v>
      </c>
      <c r="P54" s="6">
        <v>0</v>
      </c>
      <c r="Q54" s="1">
        <f t="shared" si="2"/>
        <v>61.954999999999998</v>
      </c>
      <c r="R54" s="47">
        <v>0.76</v>
      </c>
      <c r="S54" s="51">
        <v>0.8</v>
      </c>
      <c r="T54" s="1">
        <f t="shared" si="3"/>
        <v>37.668640000000003</v>
      </c>
      <c r="U54" s="30">
        <f t="shared" si="0"/>
        <v>1.9043461178951789E-2</v>
      </c>
      <c r="V54" s="8">
        <v>0</v>
      </c>
      <c r="W54" s="8">
        <f t="shared" si="1"/>
        <v>6468.1895887627861</v>
      </c>
      <c r="X54" s="31">
        <f t="shared" si="4"/>
        <v>6468.1895887627861</v>
      </c>
    </row>
    <row r="55" spans="1:24">
      <c r="A55" s="7" t="s">
        <v>584</v>
      </c>
      <c r="B55" s="7" t="s">
        <v>585</v>
      </c>
      <c r="C55" s="7" t="s">
        <v>586</v>
      </c>
      <c r="D55" s="7"/>
      <c r="E55" s="7" t="s">
        <v>587</v>
      </c>
      <c r="F55" s="7" t="s">
        <v>213</v>
      </c>
      <c r="G55" s="7" t="s">
        <v>588</v>
      </c>
      <c r="H55" s="7" t="s">
        <v>589</v>
      </c>
      <c r="I55" s="7" t="s">
        <v>590</v>
      </c>
      <c r="J55" s="7" t="s">
        <v>591</v>
      </c>
      <c r="K55" s="10">
        <v>3.2709999999999999</v>
      </c>
      <c r="L55" s="6">
        <v>0</v>
      </c>
      <c r="M55" s="6">
        <v>0.5</v>
      </c>
      <c r="N55" s="11">
        <f>K55-0.5</f>
        <v>2.7709999999999999</v>
      </c>
      <c r="O55" s="6">
        <v>0</v>
      </c>
      <c r="P55" s="6">
        <v>0</v>
      </c>
      <c r="Q55" s="1">
        <f t="shared" si="2"/>
        <v>53.855000000000004</v>
      </c>
      <c r="R55" s="47">
        <v>0.76</v>
      </c>
      <c r="S55" s="51">
        <v>0.9</v>
      </c>
      <c r="T55" s="1">
        <f t="shared" si="3"/>
        <v>36.836820000000003</v>
      </c>
      <c r="U55" s="30">
        <f t="shared" si="0"/>
        <v>1.8622932806335316E-2</v>
      </c>
      <c r="V55" s="8">
        <v>0</v>
      </c>
      <c r="W55" s="8">
        <f t="shared" si="1"/>
        <v>6325.3554045786823</v>
      </c>
      <c r="X55" s="31">
        <f t="shared" si="4"/>
        <v>6325.3554045786823</v>
      </c>
    </row>
    <row r="56" spans="1:24">
      <c r="A56" s="7" t="s">
        <v>592</v>
      </c>
      <c r="B56" s="7" t="s">
        <v>218</v>
      </c>
      <c r="C56" s="7" t="s">
        <v>495</v>
      </c>
      <c r="D56" s="7" t="s">
        <v>496</v>
      </c>
      <c r="E56" s="7" t="s">
        <v>593</v>
      </c>
      <c r="F56" s="7" t="s">
        <v>213</v>
      </c>
      <c r="G56" s="7" t="s">
        <v>498</v>
      </c>
      <c r="H56" s="7" t="s">
        <v>499</v>
      </c>
      <c r="I56" s="7" t="s">
        <v>500</v>
      </c>
      <c r="J56" s="7" t="s">
        <v>501</v>
      </c>
      <c r="K56" s="10">
        <v>3.3000000000000002E-2</v>
      </c>
      <c r="L56" s="6">
        <v>3.3000000000000002E-2</v>
      </c>
      <c r="M56" s="6"/>
      <c r="N56" s="6">
        <v>0</v>
      </c>
      <c r="O56" s="6">
        <v>0</v>
      </c>
      <c r="P56" s="6">
        <v>0</v>
      </c>
      <c r="Q56" s="1">
        <f t="shared" si="2"/>
        <v>0.16500000000000001</v>
      </c>
      <c r="R56" s="47">
        <v>0</v>
      </c>
      <c r="S56" s="51">
        <v>1</v>
      </c>
      <c r="T56" s="1">
        <f t="shared" si="3"/>
        <v>0</v>
      </c>
      <c r="U56" s="30">
        <f t="shared" si="0"/>
        <v>0</v>
      </c>
      <c r="V56" s="8">
        <v>0</v>
      </c>
      <c r="W56" s="8">
        <f t="shared" si="1"/>
        <v>0</v>
      </c>
      <c r="X56" s="31">
        <v>0</v>
      </c>
    </row>
    <row r="57" spans="1:24">
      <c r="A57" s="7" t="s">
        <v>594</v>
      </c>
      <c r="B57" s="7" t="s">
        <v>595</v>
      </c>
      <c r="C57" s="7" t="s">
        <v>596</v>
      </c>
      <c r="D57" s="7" t="s">
        <v>597</v>
      </c>
      <c r="E57" s="7" t="s">
        <v>595</v>
      </c>
      <c r="F57" s="7" t="s">
        <v>213</v>
      </c>
      <c r="G57" s="7" t="s">
        <v>214</v>
      </c>
      <c r="H57" s="7"/>
      <c r="I57" s="7" t="s">
        <v>215</v>
      </c>
      <c r="J57" s="7" t="s">
        <v>216</v>
      </c>
      <c r="K57" s="10">
        <v>5.0000000000000001E-3</v>
      </c>
      <c r="L57" s="6">
        <v>0</v>
      </c>
      <c r="M57" s="6">
        <v>0</v>
      </c>
      <c r="N57" s="6">
        <v>5.0000000000000001E-3</v>
      </c>
      <c r="O57" s="6">
        <v>0</v>
      </c>
      <c r="P57" s="6">
        <v>0</v>
      </c>
      <c r="Q57" s="1">
        <f t="shared" si="2"/>
        <v>2.5000000000000001E-2</v>
      </c>
      <c r="R57" s="47">
        <v>0.56999999999999995</v>
      </c>
      <c r="S57" s="51">
        <v>1</v>
      </c>
      <c r="T57" s="1">
        <f t="shared" si="3"/>
        <v>1.4249999999999999E-2</v>
      </c>
      <c r="U57" s="30">
        <f t="shared" si="0"/>
        <v>7.2041178497567977E-6</v>
      </c>
      <c r="V57" s="8">
        <v>0</v>
      </c>
      <c r="W57" s="8">
        <f t="shared" si="1"/>
        <v>2.4469081347208093</v>
      </c>
      <c r="X57" s="31">
        <f t="shared" si="4"/>
        <v>10</v>
      </c>
    </row>
    <row r="58" spans="1:24">
      <c r="A58" s="7" t="s">
        <v>598</v>
      </c>
      <c r="B58" s="7" t="s">
        <v>599</v>
      </c>
      <c r="C58" s="7" t="s">
        <v>462</v>
      </c>
      <c r="D58" s="7"/>
      <c r="E58" s="7" t="s">
        <v>463</v>
      </c>
      <c r="F58" s="7" t="s">
        <v>464</v>
      </c>
      <c r="G58" s="7" t="s">
        <v>465</v>
      </c>
      <c r="H58" s="7"/>
      <c r="I58" s="7" t="s">
        <v>466</v>
      </c>
      <c r="J58" s="7" t="s">
        <v>467</v>
      </c>
      <c r="K58" s="1">
        <v>21.591999999999999</v>
      </c>
      <c r="L58" s="6">
        <f>K58-P58</f>
        <v>12.931999999999999</v>
      </c>
      <c r="M58" s="6">
        <v>0</v>
      </c>
      <c r="N58" s="6">
        <v>0</v>
      </c>
      <c r="O58" s="6">
        <v>0</v>
      </c>
      <c r="P58" s="6">
        <v>8.66</v>
      </c>
      <c r="Q58" s="1">
        <f t="shared" si="2"/>
        <v>81.97999999999999</v>
      </c>
      <c r="R58" s="47">
        <v>0.76</v>
      </c>
      <c r="S58" s="51">
        <v>0.5</v>
      </c>
      <c r="T58" s="1">
        <f t="shared" si="3"/>
        <v>31.152399999999997</v>
      </c>
      <c r="U58" s="30">
        <f t="shared" si="0"/>
        <v>1.5749162168614994E-2</v>
      </c>
      <c r="V58" s="8">
        <v>0</v>
      </c>
      <c r="W58" s="8">
        <f t="shared" si="1"/>
        <v>5349.267436917652</v>
      </c>
      <c r="X58" s="31">
        <f t="shared" si="4"/>
        <v>5349.267436917652</v>
      </c>
    </row>
    <row r="59" spans="1:24">
      <c r="A59" s="7" t="s">
        <v>600</v>
      </c>
      <c r="B59" s="7" t="s">
        <v>601</v>
      </c>
      <c r="C59" s="7" t="s">
        <v>602</v>
      </c>
      <c r="D59" s="7" t="s">
        <v>603</v>
      </c>
      <c r="E59" s="7"/>
      <c r="F59" s="7"/>
      <c r="G59" s="7" t="s">
        <v>243</v>
      </c>
      <c r="H59" s="7"/>
      <c r="I59" s="7" t="s">
        <v>244</v>
      </c>
      <c r="J59" s="7" t="s">
        <v>245</v>
      </c>
      <c r="K59" s="1">
        <v>2.5030000000000001</v>
      </c>
      <c r="L59" s="6">
        <v>0.6</v>
      </c>
      <c r="M59" s="6">
        <v>0.5</v>
      </c>
      <c r="N59" s="6">
        <f>K59-1.1</f>
        <v>1.403</v>
      </c>
      <c r="O59" s="6">
        <v>0</v>
      </c>
      <c r="P59" s="6">
        <v>0</v>
      </c>
      <c r="Q59" s="1">
        <f t="shared" si="2"/>
        <v>50.015000000000001</v>
      </c>
      <c r="R59" s="47">
        <v>0.76</v>
      </c>
      <c r="S59" s="51">
        <v>0.4</v>
      </c>
      <c r="T59" s="1">
        <f t="shared" si="3"/>
        <v>15.204560000000001</v>
      </c>
      <c r="U59" s="30">
        <f t="shared" si="0"/>
        <v>7.686697690785841E-3</v>
      </c>
      <c r="V59" s="8">
        <v>0</v>
      </c>
      <c r="W59" s="8">
        <f t="shared" si="1"/>
        <v>2610.8183543053078</v>
      </c>
      <c r="X59" s="31">
        <f t="shared" si="4"/>
        <v>2610.8183543053078</v>
      </c>
    </row>
    <row r="60" spans="1:24">
      <c r="A60" s="7" t="s">
        <v>604</v>
      </c>
      <c r="B60" s="7" t="s">
        <v>605</v>
      </c>
      <c r="C60" s="7" t="s">
        <v>606</v>
      </c>
      <c r="D60" s="7" t="s">
        <v>607</v>
      </c>
      <c r="E60" s="7" t="s">
        <v>605</v>
      </c>
      <c r="F60" s="7" t="s">
        <v>380</v>
      </c>
      <c r="G60" s="7" t="s">
        <v>214</v>
      </c>
      <c r="H60" s="7"/>
      <c r="I60" s="7" t="s">
        <v>215</v>
      </c>
      <c r="J60" s="7" t="s">
        <v>216</v>
      </c>
      <c r="K60" s="1">
        <v>2.4849999999999999</v>
      </c>
      <c r="L60" s="6">
        <v>0</v>
      </c>
      <c r="M60" s="6">
        <v>0.5</v>
      </c>
      <c r="N60" s="11">
        <f>K60-0.5</f>
        <v>1.9849999999999999</v>
      </c>
      <c r="O60" s="6">
        <v>0</v>
      </c>
      <c r="P60" s="6">
        <v>0</v>
      </c>
      <c r="Q60" s="1">
        <f t="shared" si="2"/>
        <v>49.924999999999997</v>
      </c>
      <c r="R60" s="47">
        <v>0.76</v>
      </c>
      <c r="S60" s="51">
        <v>1</v>
      </c>
      <c r="T60" s="1">
        <f t="shared" si="3"/>
        <v>37.942999999999998</v>
      </c>
      <c r="U60" s="30">
        <f t="shared" si="0"/>
        <v>1.9182164461285768E-2</v>
      </c>
      <c r="V60" s="8">
        <v>0</v>
      </c>
      <c r="W60" s="8">
        <f t="shared" si="1"/>
        <v>6515.3007267166086</v>
      </c>
      <c r="X60" s="31">
        <f t="shared" si="4"/>
        <v>6515.3007267166086</v>
      </c>
    </row>
    <row r="61" spans="1:24">
      <c r="A61" s="7" t="s">
        <v>608</v>
      </c>
      <c r="B61" s="7" t="s">
        <v>609</v>
      </c>
      <c r="C61" s="7" t="s">
        <v>610</v>
      </c>
      <c r="D61" s="7"/>
      <c r="E61" s="7" t="s">
        <v>611</v>
      </c>
      <c r="F61" s="7" t="s">
        <v>213</v>
      </c>
      <c r="G61" s="7" t="s">
        <v>612</v>
      </c>
      <c r="H61" s="7"/>
      <c r="I61" s="7" t="s">
        <v>613</v>
      </c>
      <c r="J61" s="7" t="s">
        <v>443</v>
      </c>
      <c r="K61" s="10">
        <v>4.7290000000000001</v>
      </c>
      <c r="L61" s="6">
        <v>0</v>
      </c>
      <c r="M61" s="6">
        <v>0.5</v>
      </c>
      <c r="N61" s="11">
        <f>K61-0.5</f>
        <v>4.2290000000000001</v>
      </c>
      <c r="O61" s="6">
        <v>0</v>
      </c>
      <c r="P61" s="6">
        <v>0</v>
      </c>
      <c r="Q61" s="1">
        <f t="shared" si="2"/>
        <v>61.144999999999996</v>
      </c>
      <c r="R61" s="47">
        <v>0.66</v>
      </c>
      <c r="S61" s="51">
        <v>1</v>
      </c>
      <c r="T61" s="1">
        <f t="shared" si="3"/>
        <v>40.355699999999999</v>
      </c>
      <c r="U61" s="30">
        <f t="shared" si="0"/>
        <v>2.0401910084872309E-2</v>
      </c>
      <c r="V61" s="8">
        <v>0</v>
      </c>
      <c r="W61" s="8">
        <f t="shared" si="1"/>
        <v>6929.5923236738645</v>
      </c>
      <c r="X61" s="31">
        <f t="shared" si="4"/>
        <v>6929.5923236738645</v>
      </c>
    </row>
    <row r="62" spans="1:24">
      <c r="A62" s="7" t="s">
        <v>614</v>
      </c>
      <c r="B62" s="7" t="s">
        <v>615</v>
      </c>
      <c r="C62" s="7" t="s">
        <v>616</v>
      </c>
      <c r="D62" s="7"/>
      <c r="E62" s="7" t="s">
        <v>615</v>
      </c>
      <c r="F62" s="7" t="s">
        <v>617</v>
      </c>
      <c r="G62" s="7" t="s">
        <v>214</v>
      </c>
      <c r="H62" s="7"/>
      <c r="I62" s="7" t="s">
        <v>215</v>
      </c>
      <c r="J62" s="7" t="s">
        <v>216</v>
      </c>
      <c r="K62" s="10">
        <v>4.6509999999999998</v>
      </c>
      <c r="L62" s="6">
        <v>0</v>
      </c>
      <c r="M62" s="6">
        <v>0.5</v>
      </c>
      <c r="N62" s="11">
        <f>K62-0.5</f>
        <v>4.1509999999999998</v>
      </c>
      <c r="O62" s="6">
        <v>0</v>
      </c>
      <c r="P62" s="6">
        <v>0</v>
      </c>
      <c r="Q62" s="1">
        <f t="shared" si="2"/>
        <v>60.754999999999995</v>
      </c>
      <c r="R62" s="47">
        <v>0.76</v>
      </c>
      <c r="S62" s="51">
        <v>1</v>
      </c>
      <c r="T62" s="1">
        <f t="shared" si="3"/>
        <v>46.1738</v>
      </c>
      <c r="U62" s="30">
        <f t="shared" si="0"/>
        <v>2.3343262931305297E-2</v>
      </c>
      <c r="V62" s="8">
        <v>0</v>
      </c>
      <c r="W62" s="8">
        <f t="shared" si="1"/>
        <v>7928.6348653313489</v>
      </c>
      <c r="X62" s="31">
        <f t="shared" si="4"/>
        <v>7928.6348653313489</v>
      </c>
    </row>
    <row r="63" spans="1:24">
      <c r="U63" s="49" t="s">
        <v>171</v>
      </c>
      <c r="V63" s="8">
        <f>SUM(V2:V62)</f>
        <v>36920</v>
      </c>
      <c r="W63" s="8">
        <f>Overview!D12-'Area 2 -DA'!V63</f>
        <v>339654.09585899737</v>
      </c>
      <c r="X63" s="31">
        <f>SUM(X3:X62)</f>
        <v>376593.27623222041</v>
      </c>
    </row>
    <row r="64" spans="1:24">
      <c r="K64" s="45"/>
      <c r="M64" s="45"/>
      <c r="N64" s="45"/>
      <c r="O64" s="45"/>
      <c r="P64" s="45"/>
      <c r="U64" s="3"/>
      <c r="V64" s="3"/>
    </row>
    <row r="65" spans="14:23">
      <c r="N65" s="45"/>
    </row>
    <row r="70" spans="14:23">
      <c r="S70" t="s">
        <v>618</v>
      </c>
      <c r="T70">
        <f>SUM(T3:T62)</f>
        <v>1978.0353815951332</v>
      </c>
      <c r="U70" s="48">
        <f>SUM(U3:U62)</f>
        <v>0.99999999999999989</v>
      </c>
      <c r="W70" s="23">
        <f>SUM(W3:W62)</f>
        <v>339654.09585899726</v>
      </c>
    </row>
  </sheetData>
  <conditionalFormatting sqref="A5:A62">
    <cfRule type="duplicateValues" dxfId="1" priority="1"/>
  </conditionalFormatting>
  <pageMargins left="0.7" right="0.7" top="0.75" bottom="0.75" header="0.3" footer="0.3"/>
  <pageSetup paperSize="3" scale="68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3E3D-2E88-4436-8BFB-7C2D4562B474}">
  <sheetPr>
    <pageSetUpPr fitToPage="1"/>
  </sheetPr>
  <dimension ref="A1:X49"/>
  <sheetViews>
    <sheetView workbookViewId="0">
      <pane xSplit="1" topLeftCell="B1" activePane="topRight" state="frozen"/>
      <selection pane="topRight" activeCell="B13" sqref="B13"/>
    </sheetView>
  </sheetViews>
  <sheetFormatPr defaultRowHeight="14.45"/>
  <cols>
    <col min="1" max="1" width="10.7109375" bestFit="1" customWidth="1"/>
    <col min="2" max="2" width="25.28515625" customWidth="1"/>
    <col min="3" max="3" width="24.140625" bestFit="1" customWidth="1"/>
    <col min="4" max="4" width="23.5703125" bestFit="1" customWidth="1"/>
    <col min="5" max="5" width="28.28515625" hidden="1" customWidth="1"/>
    <col min="6" max="6" width="23.28515625" hidden="1" customWidth="1"/>
    <col min="7" max="10" width="0" hidden="1" customWidth="1"/>
    <col min="11" max="11" width="11.85546875" bestFit="1" customWidth="1"/>
    <col min="19" max="19" width="11.28515625" bestFit="1" customWidth="1"/>
    <col min="21" max="21" width="9.5703125" customWidth="1"/>
    <col min="22" max="22" width="12.28515625" bestFit="1" customWidth="1"/>
    <col min="23" max="23" width="13.85546875" bestFit="1" customWidth="1"/>
    <col min="24" max="24" width="13.85546875" customWidth="1"/>
  </cols>
  <sheetData>
    <row r="1" spans="1:24">
      <c r="A1" s="44" t="s">
        <v>14</v>
      </c>
    </row>
    <row r="2" spans="1:24" ht="43.5">
      <c r="A2" s="5" t="s">
        <v>186</v>
      </c>
      <c r="B2" s="5" t="s">
        <v>187</v>
      </c>
      <c r="C2" s="5" t="s">
        <v>188</v>
      </c>
      <c r="D2" s="5" t="s">
        <v>189</v>
      </c>
      <c r="E2" s="5" t="s">
        <v>190</v>
      </c>
      <c r="F2" s="5" t="s">
        <v>191</v>
      </c>
      <c r="G2" s="5" t="s">
        <v>192</v>
      </c>
      <c r="H2" s="5" t="s">
        <v>193</v>
      </c>
      <c r="I2" s="5" t="s">
        <v>194</v>
      </c>
      <c r="J2" s="5" t="s">
        <v>195</v>
      </c>
      <c r="K2" s="29" t="s">
        <v>619</v>
      </c>
      <c r="L2" s="28" t="s">
        <v>197</v>
      </c>
      <c r="M2" s="28" t="s">
        <v>198</v>
      </c>
      <c r="N2" s="28" t="s">
        <v>199</v>
      </c>
      <c r="O2" s="28" t="s">
        <v>200</v>
      </c>
      <c r="P2" s="28" t="s">
        <v>201</v>
      </c>
      <c r="Q2" s="29" t="s">
        <v>202</v>
      </c>
      <c r="R2" s="28" t="s">
        <v>203</v>
      </c>
      <c r="S2" s="28" t="s">
        <v>204</v>
      </c>
      <c r="T2" s="28" t="s">
        <v>205</v>
      </c>
      <c r="U2" s="28" t="s">
        <v>206</v>
      </c>
      <c r="V2" s="29" t="s">
        <v>317</v>
      </c>
      <c r="W2" s="29" t="s">
        <v>207</v>
      </c>
      <c r="X2" s="29" t="s">
        <v>208</v>
      </c>
    </row>
    <row r="3" spans="1:24">
      <c r="A3" s="9" t="s">
        <v>318</v>
      </c>
      <c r="B3" s="12" t="s">
        <v>620</v>
      </c>
      <c r="C3" s="12" t="s">
        <v>320</v>
      </c>
      <c r="D3" s="9"/>
      <c r="E3" s="9"/>
      <c r="F3" s="9"/>
      <c r="G3" s="9"/>
      <c r="H3" s="9"/>
      <c r="I3" s="9"/>
      <c r="J3" s="9"/>
      <c r="K3" s="26">
        <f>242345.872365/43560</f>
        <v>5.5634956924931123</v>
      </c>
      <c r="L3" s="1">
        <v>0</v>
      </c>
      <c r="M3" s="1">
        <v>0</v>
      </c>
      <c r="N3" s="1">
        <v>0</v>
      </c>
      <c r="O3" s="10">
        <f>K3</f>
        <v>5.5634956924931123</v>
      </c>
      <c r="P3" s="1">
        <v>0</v>
      </c>
      <c r="Q3" s="1">
        <f>(L3*5+M3*80+N3*5+O3*100+P3*2)</f>
        <v>556.34956924931123</v>
      </c>
      <c r="R3" s="47">
        <v>0.5</v>
      </c>
      <c r="S3" s="1">
        <v>1</v>
      </c>
      <c r="T3" s="1">
        <f>Q3*R3*S3</f>
        <v>278.17478462465562</v>
      </c>
      <c r="U3" s="30">
        <f t="shared" ref="U3:U40" si="0">T3/T$48</f>
        <v>0.30708554194382848</v>
      </c>
      <c r="V3" s="46">
        <v>0</v>
      </c>
      <c r="W3" s="8">
        <f t="shared" ref="W3:W40" si="1">U3*W$41</f>
        <v>396076.02923701447</v>
      </c>
      <c r="X3" s="8">
        <f>IF(W3&lt;10,10,W3)+V3</f>
        <v>396076.02923701447</v>
      </c>
    </row>
    <row r="4" spans="1:24">
      <c r="A4" s="7" t="s">
        <v>322</v>
      </c>
      <c r="B4" s="7" t="s">
        <v>323</v>
      </c>
      <c r="C4" s="7" t="s">
        <v>324</v>
      </c>
      <c r="D4" s="7" t="s">
        <v>325</v>
      </c>
      <c r="E4" s="7" t="s">
        <v>323</v>
      </c>
      <c r="F4" s="7" t="s">
        <v>326</v>
      </c>
      <c r="G4" s="7" t="s">
        <v>214</v>
      </c>
      <c r="H4" s="7"/>
      <c r="I4" s="7" t="s">
        <v>215</v>
      </c>
      <c r="J4" s="7" t="s">
        <v>216</v>
      </c>
      <c r="K4" s="1">
        <v>4.7969999999999997</v>
      </c>
      <c r="L4" s="6">
        <v>2.7</v>
      </c>
      <c r="M4" s="6">
        <v>0.5</v>
      </c>
      <c r="N4" s="6">
        <v>1.597</v>
      </c>
      <c r="O4" s="6">
        <v>0</v>
      </c>
      <c r="P4" s="6">
        <v>0</v>
      </c>
      <c r="Q4" s="1">
        <f t="shared" ref="Q4:Q40" si="2">(L4*5+M4*80+N4*5+O4*100+P4*2)</f>
        <v>61.484999999999999</v>
      </c>
      <c r="R4" s="47">
        <v>0.5</v>
      </c>
      <c r="S4" s="1">
        <v>1</v>
      </c>
      <c r="T4" s="1">
        <f t="shared" ref="T4:T40" si="3">Q4*R4*S4</f>
        <v>30.7425</v>
      </c>
      <c r="U4" s="30">
        <f t="shared" si="0"/>
        <v>3.3937573766602981E-2</v>
      </c>
      <c r="V4" s="8">
        <v>0</v>
      </c>
      <c r="W4" s="8">
        <f t="shared" si="1"/>
        <v>43772.361845264393</v>
      </c>
      <c r="X4" s="8">
        <f>IF(W4&lt;10,10,W4)</f>
        <v>43772.361845264393</v>
      </c>
    </row>
    <row r="5" spans="1:24">
      <c r="A5" s="7" t="s">
        <v>335</v>
      </c>
      <c r="B5" s="7" t="s">
        <v>336</v>
      </c>
      <c r="C5" s="7" t="s">
        <v>324</v>
      </c>
      <c r="D5" s="7" t="s">
        <v>325</v>
      </c>
      <c r="E5" s="7" t="s">
        <v>323</v>
      </c>
      <c r="F5" s="7" t="s">
        <v>213</v>
      </c>
      <c r="G5" s="7" t="s">
        <v>337</v>
      </c>
      <c r="H5" s="7" t="s">
        <v>338</v>
      </c>
      <c r="I5" s="7" t="s">
        <v>339</v>
      </c>
      <c r="J5" s="7" t="s">
        <v>340</v>
      </c>
      <c r="K5" s="1">
        <v>13.683999999999999</v>
      </c>
      <c r="L5" s="1">
        <v>13.683999999999999</v>
      </c>
      <c r="M5" s="1">
        <v>0</v>
      </c>
      <c r="N5" s="1">
        <v>0</v>
      </c>
      <c r="O5" s="1">
        <v>0</v>
      </c>
      <c r="P5" s="1">
        <v>0</v>
      </c>
      <c r="Q5" s="1">
        <f t="shared" si="2"/>
        <v>68.42</v>
      </c>
      <c r="R5" s="47">
        <v>1</v>
      </c>
      <c r="S5" s="1">
        <v>1</v>
      </c>
      <c r="T5" s="1">
        <f t="shared" si="3"/>
        <v>68.42</v>
      </c>
      <c r="U5" s="30">
        <f t="shared" si="0"/>
        <v>7.5530903378416725E-2</v>
      </c>
      <c r="V5" s="8">
        <v>0</v>
      </c>
      <c r="W5" s="8">
        <f t="shared" si="1"/>
        <v>97419.04521275076</v>
      </c>
      <c r="X5" s="8">
        <f t="shared" ref="X5:X40" si="4">IF(W5&lt;10,10,W5)</f>
        <v>97419.04521275076</v>
      </c>
    </row>
    <row r="6" spans="1:24">
      <c r="A6" s="7" t="s">
        <v>341</v>
      </c>
      <c r="B6" s="7" t="s">
        <v>342</v>
      </c>
      <c r="C6" s="7" t="s">
        <v>343</v>
      </c>
      <c r="D6" s="7"/>
      <c r="E6" s="7" t="s">
        <v>344</v>
      </c>
      <c r="F6" s="7" t="s">
        <v>213</v>
      </c>
      <c r="G6" s="7" t="s">
        <v>343</v>
      </c>
      <c r="H6" s="7"/>
      <c r="I6" s="7" t="s">
        <v>345</v>
      </c>
      <c r="J6" s="7" t="s">
        <v>346</v>
      </c>
      <c r="K6" s="1">
        <v>14.525</v>
      </c>
      <c r="L6" s="1">
        <v>13.324999999999999</v>
      </c>
      <c r="M6" s="1">
        <v>0.5</v>
      </c>
      <c r="N6" s="1">
        <v>0</v>
      </c>
      <c r="O6" s="1">
        <v>0</v>
      </c>
      <c r="P6" s="1">
        <v>0.7</v>
      </c>
      <c r="Q6" s="1">
        <f t="shared" si="2"/>
        <v>108.02500000000001</v>
      </c>
      <c r="R6" s="47">
        <v>0.1</v>
      </c>
      <c r="S6" s="1">
        <v>1</v>
      </c>
      <c r="T6" s="1">
        <f t="shared" si="3"/>
        <v>10.802500000000002</v>
      </c>
      <c r="U6" s="30">
        <f t="shared" si="0"/>
        <v>1.1925205842521876E-2</v>
      </c>
      <c r="V6" s="8">
        <v>0</v>
      </c>
      <c r="W6" s="8">
        <f t="shared" si="1"/>
        <v>15381.017771276531</v>
      </c>
      <c r="X6" s="8">
        <f t="shared" si="4"/>
        <v>15381.017771276531</v>
      </c>
    </row>
    <row r="7" spans="1:24">
      <c r="A7" s="7" t="s">
        <v>347</v>
      </c>
      <c r="B7" s="7" t="s">
        <v>348</v>
      </c>
      <c r="C7" s="7" t="s">
        <v>349</v>
      </c>
      <c r="D7" s="7" t="s">
        <v>350</v>
      </c>
      <c r="E7" s="7" t="s">
        <v>348</v>
      </c>
      <c r="F7" s="7" t="s">
        <v>213</v>
      </c>
      <c r="G7" s="7" t="s">
        <v>351</v>
      </c>
      <c r="H7" s="7" t="s">
        <v>352</v>
      </c>
      <c r="I7" s="7" t="s">
        <v>353</v>
      </c>
      <c r="J7" s="7" t="s">
        <v>354</v>
      </c>
      <c r="K7" s="1">
        <v>0.01</v>
      </c>
      <c r="L7" s="1">
        <v>0</v>
      </c>
      <c r="M7" s="1">
        <v>0</v>
      </c>
      <c r="N7" s="1">
        <v>0.01</v>
      </c>
      <c r="O7" s="1">
        <v>0</v>
      </c>
      <c r="P7" s="1">
        <v>0</v>
      </c>
      <c r="Q7" s="1">
        <f t="shared" si="2"/>
        <v>0.05</v>
      </c>
      <c r="R7" s="47">
        <v>0</v>
      </c>
      <c r="S7" s="1">
        <v>1</v>
      </c>
      <c r="T7" s="1">
        <f t="shared" si="3"/>
        <v>0</v>
      </c>
      <c r="U7" s="30">
        <f t="shared" si="0"/>
        <v>0</v>
      </c>
      <c r="V7" s="8">
        <v>0</v>
      </c>
      <c r="W7" s="8">
        <f t="shared" si="1"/>
        <v>0</v>
      </c>
      <c r="X7" s="8">
        <v>0</v>
      </c>
    </row>
    <row r="8" spans="1:24">
      <c r="A8" s="7" t="s">
        <v>355</v>
      </c>
      <c r="B8" s="7" t="s">
        <v>356</v>
      </c>
      <c r="C8" s="7" t="s">
        <v>357</v>
      </c>
      <c r="D8" s="7"/>
      <c r="E8" s="7" t="s">
        <v>358</v>
      </c>
      <c r="F8" s="7" t="s">
        <v>359</v>
      </c>
      <c r="G8" s="7" t="s">
        <v>360</v>
      </c>
      <c r="H8" s="7"/>
      <c r="I8" s="7" t="s">
        <v>361</v>
      </c>
      <c r="J8" s="7" t="s">
        <v>362</v>
      </c>
      <c r="K8" s="1">
        <v>0.29299999999999998</v>
      </c>
      <c r="L8" s="1">
        <v>0</v>
      </c>
      <c r="M8" s="1">
        <v>0</v>
      </c>
      <c r="N8" s="1">
        <v>0.29299999999999998</v>
      </c>
      <c r="O8" s="1">
        <v>0</v>
      </c>
      <c r="P8" s="1">
        <v>0</v>
      </c>
      <c r="Q8" s="1">
        <f t="shared" si="2"/>
        <v>1.4649999999999999</v>
      </c>
      <c r="R8" s="47">
        <v>1</v>
      </c>
      <c r="S8" s="1">
        <v>1</v>
      </c>
      <c r="T8" s="1">
        <f t="shared" si="3"/>
        <v>1.4649999999999999</v>
      </c>
      <c r="U8" s="30">
        <f t="shared" si="0"/>
        <v>1.6172577236097704E-3</v>
      </c>
      <c r="V8" s="8">
        <v>0</v>
      </c>
      <c r="W8" s="8">
        <f t="shared" si="1"/>
        <v>2085.9237245933914</v>
      </c>
      <c r="X8" s="8">
        <f t="shared" si="4"/>
        <v>2085.9237245933914</v>
      </c>
    </row>
    <row r="9" spans="1:24">
      <c r="A9" s="7" t="s">
        <v>363</v>
      </c>
      <c r="B9" s="7" t="s">
        <v>364</v>
      </c>
      <c r="C9" s="7" t="s">
        <v>365</v>
      </c>
      <c r="D9" s="7"/>
      <c r="E9" s="7" t="s">
        <v>364</v>
      </c>
      <c r="F9" s="7" t="s">
        <v>213</v>
      </c>
      <c r="G9" s="7" t="s">
        <v>365</v>
      </c>
      <c r="H9" s="7"/>
      <c r="I9" s="7" t="s">
        <v>366</v>
      </c>
      <c r="J9" s="7" t="s">
        <v>367</v>
      </c>
      <c r="K9" s="1">
        <v>0.755</v>
      </c>
      <c r="L9" s="1">
        <v>0.755</v>
      </c>
      <c r="M9" s="1">
        <v>0</v>
      </c>
      <c r="N9" s="1">
        <v>0</v>
      </c>
      <c r="O9" s="1">
        <v>0</v>
      </c>
      <c r="P9" s="1">
        <v>0</v>
      </c>
      <c r="Q9" s="1">
        <f t="shared" si="2"/>
        <v>3.7749999999999999</v>
      </c>
      <c r="R9" s="47">
        <v>0.5</v>
      </c>
      <c r="S9" s="1">
        <v>0.8</v>
      </c>
      <c r="T9" s="1">
        <f t="shared" si="3"/>
        <v>1.51</v>
      </c>
      <c r="U9" s="30">
        <f t="shared" si="0"/>
        <v>1.6669345820141662E-3</v>
      </c>
      <c r="V9" s="8">
        <v>0</v>
      </c>
      <c r="W9" s="8">
        <f t="shared" si="1"/>
        <v>2149.9964669870451</v>
      </c>
      <c r="X9" s="8">
        <f t="shared" si="4"/>
        <v>2149.9964669870451</v>
      </c>
    </row>
    <row r="10" spans="1:24">
      <c r="A10" s="7" t="s">
        <v>374</v>
      </c>
      <c r="B10" s="7" t="s">
        <v>375</v>
      </c>
      <c r="C10" s="7" t="s">
        <v>370</v>
      </c>
      <c r="D10" s="7"/>
      <c r="E10" s="7" t="s">
        <v>371</v>
      </c>
      <c r="F10" s="7" t="s">
        <v>213</v>
      </c>
      <c r="G10" s="7" t="s">
        <v>370</v>
      </c>
      <c r="H10" s="7"/>
      <c r="I10" s="7" t="s">
        <v>372</v>
      </c>
      <c r="J10" s="7" t="s">
        <v>373</v>
      </c>
      <c r="K10" s="1">
        <v>0.89</v>
      </c>
      <c r="L10" s="1">
        <v>0.89</v>
      </c>
      <c r="M10" s="1">
        <v>0</v>
      </c>
      <c r="N10" s="1">
        <v>0</v>
      </c>
      <c r="O10" s="1">
        <v>0</v>
      </c>
      <c r="P10" s="1">
        <v>0</v>
      </c>
      <c r="Q10" s="1">
        <f t="shared" si="2"/>
        <v>4.45</v>
      </c>
      <c r="R10" s="47">
        <v>0.1</v>
      </c>
      <c r="S10" s="1">
        <v>0.9</v>
      </c>
      <c r="T10" s="1">
        <f t="shared" si="3"/>
        <v>0.40050000000000008</v>
      </c>
      <c r="U10" s="30">
        <f t="shared" si="0"/>
        <v>4.4212403979912164E-4</v>
      </c>
      <c r="V10" s="8">
        <v>0</v>
      </c>
      <c r="W10" s="8">
        <f t="shared" si="1"/>
        <v>570.24740730351778</v>
      </c>
      <c r="X10" s="8">
        <f t="shared" si="4"/>
        <v>570.24740730351778</v>
      </c>
    </row>
    <row r="11" spans="1:24">
      <c r="A11" s="7" t="s">
        <v>385</v>
      </c>
      <c r="B11" s="7" t="s">
        <v>386</v>
      </c>
      <c r="C11" s="7" t="s">
        <v>387</v>
      </c>
      <c r="D11" s="7" t="s">
        <v>388</v>
      </c>
      <c r="E11" s="7" t="s">
        <v>386</v>
      </c>
      <c r="F11" s="7" t="s">
        <v>213</v>
      </c>
      <c r="G11" s="7" t="s">
        <v>389</v>
      </c>
      <c r="H11" s="7" t="s">
        <v>390</v>
      </c>
      <c r="I11" s="7" t="s">
        <v>391</v>
      </c>
      <c r="J11" s="7" t="s">
        <v>392</v>
      </c>
      <c r="K11" s="1">
        <v>0.28000000000000003</v>
      </c>
      <c r="L11" s="1">
        <v>0.28000000000000003</v>
      </c>
      <c r="M11" s="1">
        <v>0</v>
      </c>
      <c r="N11" s="1">
        <v>0</v>
      </c>
      <c r="O11" s="1">
        <v>0</v>
      </c>
      <c r="P11" s="1">
        <v>0</v>
      </c>
      <c r="Q11" s="1">
        <f t="shared" si="2"/>
        <v>1.4000000000000001</v>
      </c>
      <c r="R11" s="47">
        <v>0.5</v>
      </c>
      <c r="S11" s="1">
        <v>0.8</v>
      </c>
      <c r="T11" s="1">
        <f t="shared" si="3"/>
        <v>0.56000000000000005</v>
      </c>
      <c r="U11" s="30">
        <f t="shared" si="0"/>
        <v>6.1820090458803518E-4</v>
      </c>
      <c r="V11" s="8">
        <v>0</v>
      </c>
      <c r="W11" s="8">
        <f t="shared" si="1"/>
        <v>797.34968312102353</v>
      </c>
      <c r="X11" s="8">
        <f t="shared" si="4"/>
        <v>797.34968312102353</v>
      </c>
    </row>
    <row r="12" spans="1:24">
      <c r="A12" s="7" t="s">
        <v>446</v>
      </c>
      <c r="B12" s="7" t="s">
        <v>447</v>
      </c>
      <c r="C12" s="7" t="s">
        <v>448</v>
      </c>
      <c r="D12" s="7"/>
      <c r="E12" s="7" t="s">
        <v>447</v>
      </c>
      <c r="F12" s="7" t="s">
        <v>213</v>
      </c>
      <c r="G12" s="7" t="s">
        <v>214</v>
      </c>
      <c r="H12" s="7"/>
      <c r="I12" s="7" t="s">
        <v>215</v>
      </c>
      <c r="J12" s="7" t="s">
        <v>216</v>
      </c>
      <c r="K12" s="1">
        <v>2.5999999999999999E-2</v>
      </c>
      <c r="L12" s="1">
        <v>0</v>
      </c>
      <c r="M12" s="1">
        <v>0</v>
      </c>
      <c r="N12" s="1">
        <v>2.5999999999999999E-2</v>
      </c>
      <c r="O12" s="1">
        <v>0</v>
      </c>
      <c r="P12" s="1">
        <v>0</v>
      </c>
      <c r="Q12" s="1">
        <f t="shared" si="2"/>
        <v>0.13</v>
      </c>
      <c r="R12" s="47">
        <v>0.5</v>
      </c>
      <c r="S12" s="1">
        <v>0.9</v>
      </c>
      <c r="T12" s="1">
        <f t="shared" si="3"/>
        <v>5.8500000000000003E-2</v>
      </c>
      <c r="U12" s="30">
        <f t="shared" si="0"/>
        <v>6.4579915925714389E-5</v>
      </c>
      <c r="V12" s="8">
        <v>0</v>
      </c>
      <c r="W12" s="8">
        <f t="shared" si="1"/>
        <v>83.294565111749776</v>
      </c>
      <c r="X12" s="8">
        <f t="shared" si="4"/>
        <v>83.294565111749776</v>
      </c>
    </row>
    <row r="13" spans="1:24">
      <c r="A13" s="7" t="s">
        <v>449</v>
      </c>
      <c r="B13" s="7" t="s">
        <v>450</v>
      </c>
      <c r="C13" s="7" t="s">
        <v>451</v>
      </c>
      <c r="D13" s="7" t="s">
        <v>452</v>
      </c>
      <c r="E13" s="7"/>
      <c r="F13" s="7"/>
      <c r="G13" s="7" t="s">
        <v>453</v>
      </c>
      <c r="H13" s="7" t="s">
        <v>454</v>
      </c>
      <c r="I13" s="7" t="s">
        <v>455</v>
      </c>
      <c r="J13" s="7" t="s">
        <v>456</v>
      </c>
      <c r="K13" s="1">
        <v>1.6140000000000001</v>
      </c>
      <c r="L13" s="1">
        <v>0</v>
      </c>
      <c r="M13" s="1">
        <v>0.5</v>
      </c>
      <c r="N13" s="1">
        <v>1.1140000000000001</v>
      </c>
      <c r="O13" s="1">
        <v>0</v>
      </c>
      <c r="P13" s="1">
        <v>0</v>
      </c>
      <c r="Q13" s="1">
        <f t="shared" si="2"/>
        <v>45.57</v>
      </c>
      <c r="R13" s="47">
        <v>0.5</v>
      </c>
      <c r="S13" s="1">
        <v>0.9</v>
      </c>
      <c r="T13" s="1">
        <f t="shared" si="3"/>
        <v>20.506499999999999</v>
      </c>
      <c r="U13" s="30">
        <f t="shared" si="0"/>
        <v>2.2637744374883112E-2</v>
      </c>
      <c r="V13" s="8">
        <v>0</v>
      </c>
      <c r="W13" s="8">
        <f t="shared" si="1"/>
        <v>29197.948708787975</v>
      </c>
      <c r="X13" s="8">
        <f t="shared" si="4"/>
        <v>29197.948708787975</v>
      </c>
    </row>
    <row r="14" spans="1:24">
      <c r="A14" s="7" t="s">
        <v>457</v>
      </c>
      <c r="B14" s="7" t="s">
        <v>458</v>
      </c>
      <c r="C14" s="7" t="s">
        <v>459</v>
      </c>
      <c r="D14" s="7" t="s">
        <v>460</v>
      </c>
      <c r="E14" s="7" t="s">
        <v>458</v>
      </c>
      <c r="F14" s="7" t="s">
        <v>213</v>
      </c>
      <c r="G14" s="7" t="s">
        <v>214</v>
      </c>
      <c r="H14" s="7"/>
      <c r="I14" s="7" t="s">
        <v>215</v>
      </c>
      <c r="J14" s="7" t="s">
        <v>216</v>
      </c>
      <c r="K14" s="1">
        <v>0.84</v>
      </c>
      <c r="L14" s="1">
        <v>0</v>
      </c>
      <c r="M14" s="1">
        <v>0</v>
      </c>
      <c r="N14" s="1">
        <v>0.84</v>
      </c>
      <c r="O14" s="1">
        <v>0</v>
      </c>
      <c r="P14" s="1">
        <v>0</v>
      </c>
      <c r="Q14" s="1">
        <f>(L14*5+M14*80+N14*5+O14*100+P14*2)</f>
        <v>4.2</v>
      </c>
      <c r="R14" s="54">
        <v>0.5</v>
      </c>
      <c r="S14" s="1">
        <v>0.9</v>
      </c>
      <c r="T14" s="1">
        <f t="shared" si="3"/>
        <v>1.8900000000000001</v>
      </c>
      <c r="U14" s="55">
        <f t="shared" si="0"/>
        <v>2.0864280529846188E-3</v>
      </c>
      <c r="V14" s="56">
        <v>0</v>
      </c>
      <c r="W14" s="56">
        <f t="shared" si="1"/>
        <v>2691.0551805334544</v>
      </c>
      <c r="X14" s="56">
        <f t="shared" si="4"/>
        <v>2691.0551805334544</v>
      </c>
    </row>
    <row r="15" spans="1:24">
      <c r="A15" s="7" t="s">
        <v>461</v>
      </c>
      <c r="B15" s="7" t="s">
        <v>445</v>
      </c>
      <c r="C15" s="7" t="s">
        <v>462</v>
      </c>
      <c r="D15" s="7"/>
      <c r="E15" s="7" t="s">
        <v>463</v>
      </c>
      <c r="F15" s="7" t="s">
        <v>464</v>
      </c>
      <c r="G15" s="7" t="s">
        <v>465</v>
      </c>
      <c r="H15" s="7"/>
      <c r="I15" s="7" t="s">
        <v>466</v>
      </c>
      <c r="J15" s="7" t="s">
        <v>467</v>
      </c>
      <c r="K15" s="1">
        <v>4.8869999999999996</v>
      </c>
      <c r="L15" s="1">
        <v>4.8869999999999996</v>
      </c>
      <c r="M15" s="1">
        <v>0</v>
      </c>
      <c r="N15" s="1">
        <v>0</v>
      </c>
      <c r="O15" s="1">
        <v>0</v>
      </c>
      <c r="P15" s="1">
        <v>0</v>
      </c>
      <c r="Q15" s="1">
        <f t="shared" si="2"/>
        <v>24.434999999999999</v>
      </c>
      <c r="R15" s="47">
        <v>0.3</v>
      </c>
      <c r="S15" s="1">
        <v>1</v>
      </c>
      <c r="T15" s="1">
        <f t="shared" si="3"/>
        <v>7.3304999999999989</v>
      </c>
      <c r="U15" s="30">
        <f t="shared" si="0"/>
        <v>8.0923602340760552E-3</v>
      </c>
      <c r="V15" s="8">
        <v>0</v>
      </c>
      <c r="W15" s="8">
        <f t="shared" si="1"/>
        <v>10437.44973592618</v>
      </c>
      <c r="X15" s="8">
        <f t="shared" si="4"/>
        <v>10437.44973592618</v>
      </c>
    </row>
    <row r="16" spans="1:24">
      <c r="A16" s="7" t="s">
        <v>468</v>
      </c>
      <c r="B16" s="7" t="s">
        <v>469</v>
      </c>
      <c r="C16" s="7" t="s">
        <v>470</v>
      </c>
      <c r="D16" s="7" t="s">
        <v>471</v>
      </c>
      <c r="E16" s="7" t="s">
        <v>469</v>
      </c>
      <c r="F16" s="7" t="s">
        <v>213</v>
      </c>
      <c r="G16" s="7" t="s">
        <v>472</v>
      </c>
      <c r="H16" s="7" t="s">
        <v>473</v>
      </c>
      <c r="I16" s="7" t="s">
        <v>474</v>
      </c>
      <c r="J16" s="7" t="s">
        <v>340</v>
      </c>
      <c r="K16" s="1">
        <v>0.94399999999999995</v>
      </c>
      <c r="L16" s="1">
        <v>0</v>
      </c>
      <c r="M16" s="1">
        <v>0.5</v>
      </c>
      <c r="N16" s="1">
        <v>0.44400000000000001</v>
      </c>
      <c r="O16" s="1">
        <v>0</v>
      </c>
      <c r="P16" s="1">
        <v>0</v>
      </c>
      <c r="Q16" s="1">
        <f t="shared" si="2"/>
        <v>42.22</v>
      </c>
      <c r="R16" s="54">
        <v>0.5</v>
      </c>
      <c r="S16" s="1">
        <v>0.9</v>
      </c>
      <c r="T16" s="1">
        <f t="shared" si="3"/>
        <v>18.998999999999999</v>
      </c>
      <c r="U16" s="55">
        <f t="shared" si="0"/>
        <v>2.0973569618335856E-2</v>
      </c>
      <c r="V16" s="56">
        <v>0</v>
      </c>
      <c r="W16" s="56">
        <f t="shared" si="1"/>
        <v>27051.511838600578</v>
      </c>
      <c r="X16" s="56">
        <f t="shared" si="4"/>
        <v>27051.511838600578</v>
      </c>
    </row>
    <row r="17" spans="1:24">
      <c r="A17" s="7" t="s">
        <v>475</v>
      </c>
      <c r="B17" s="7" t="s">
        <v>476</v>
      </c>
      <c r="C17" s="7" t="s">
        <v>477</v>
      </c>
      <c r="D17" s="7" t="s">
        <v>478</v>
      </c>
      <c r="E17" s="7" t="s">
        <v>476</v>
      </c>
      <c r="F17" s="7" t="s">
        <v>213</v>
      </c>
      <c r="G17" s="7" t="s">
        <v>479</v>
      </c>
      <c r="H17" s="7" t="s">
        <v>480</v>
      </c>
      <c r="I17" s="7" t="s">
        <v>481</v>
      </c>
      <c r="J17" s="7" t="s">
        <v>443</v>
      </c>
      <c r="K17" s="1">
        <v>4.7839999999999998</v>
      </c>
      <c r="L17" s="6">
        <v>1.6</v>
      </c>
      <c r="M17" s="6">
        <v>0.5</v>
      </c>
      <c r="N17" s="6">
        <f>K17-2.1</f>
        <v>2.6839999999999997</v>
      </c>
      <c r="O17" s="1">
        <v>0</v>
      </c>
      <c r="P17" s="1">
        <v>0</v>
      </c>
      <c r="Q17" s="1">
        <f t="shared" si="2"/>
        <v>61.42</v>
      </c>
      <c r="R17" s="47">
        <v>0.4</v>
      </c>
      <c r="S17" s="1">
        <v>1</v>
      </c>
      <c r="T17" s="1">
        <f t="shared" si="3"/>
        <v>24.568000000000001</v>
      </c>
      <c r="U17" s="30">
        <f t="shared" si="0"/>
        <v>2.7121356828426514E-2</v>
      </c>
      <c r="V17" s="8">
        <v>0</v>
      </c>
      <c r="W17" s="8">
        <f t="shared" si="1"/>
        <v>34980.869669495187</v>
      </c>
      <c r="X17" s="8">
        <f t="shared" si="4"/>
        <v>34980.869669495187</v>
      </c>
    </row>
    <row r="18" spans="1:24">
      <c r="A18" s="7" t="s">
        <v>482</v>
      </c>
      <c r="B18" s="7" t="s">
        <v>445</v>
      </c>
      <c r="C18" s="7" t="s">
        <v>483</v>
      </c>
      <c r="D18" s="7"/>
      <c r="E18" s="7" t="s">
        <v>364</v>
      </c>
      <c r="F18" s="7" t="s">
        <v>213</v>
      </c>
      <c r="G18" s="7" t="s">
        <v>484</v>
      </c>
      <c r="H18" s="7"/>
      <c r="I18" s="7" t="s">
        <v>485</v>
      </c>
      <c r="J18" s="7" t="s">
        <v>486</v>
      </c>
      <c r="K18" s="1">
        <v>4.7030000000000003</v>
      </c>
      <c r="L18" s="1">
        <v>4.7030000000000003</v>
      </c>
      <c r="M18" s="1">
        <v>0</v>
      </c>
      <c r="N18" s="1">
        <v>0</v>
      </c>
      <c r="O18" s="1">
        <v>0</v>
      </c>
      <c r="P18" s="1">
        <v>0</v>
      </c>
      <c r="Q18" s="1">
        <f t="shared" si="2"/>
        <v>23.515000000000001</v>
      </c>
      <c r="R18" s="47">
        <v>0.4</v>
      </c>
      <c r="S18" s="1">
        <v>1</v>
      </c>
      <c r="T18" s="1">
        <f t="shared" si="3"/>
        <v>9.4060000000000006</v>
      </c>
      <c r="U18" s="30">
        <f t="shared" si="0"/>
        <v>1.0383567336705462E-2</v>
      </c>
      <c r="V18" s="8">
        <v>0</v>
      </c>
      <c r="W18" s="8">
        <f t="shared" si="1"/>
        <v>13392.626998993475</v>
      </c>
      <c r="X18" s="8">
        <f t="shared" si="4"/>
        <v>13392.626998993475</v>
      </c>
    </row>
    <row r="19" spans="1:24">
      <c r="A19" s="7" t="s">
        <v>487</v>
      </c>
      <c r="B19" s="7" t="s">
        <v>445</v>
      </c>
      <c r="C19" s="7" t="s">
        <v>462</v>
      </c>
      <c r="D19" s="7"/>
      <c r="E19" s="7" t="s">
        <v>463</v>
      </c>
      <c r="F19" s="7" t="s">
        <v>464</v>
      </c>
      <c r="G19" s="7" t="s">
        <v>465</v>
      </c>
      <c r="H19" s="7"/>
      <c r="I19" s="7" t="s">
        <v>466</v>
      </c>
      <c r="J19" s="7" t="s">
        <v>467</v>
      </c>
      <c r="K19" s="1">
        <v>4.8289999999999997</v>
      </c>
      <c r="L19" s="1">
        <v>4.8289999999999997</v>
      </c>
      <c r="M19" s="1">
        <v>0</v>
      </c>
      <c r="N19" s="1">
        <v>0</v>
      </c>
      <c r="O19" s="1">
        <v>0</v>
      </c>
      <c r="P19" s="1">
        <v>0</v>
      </c>
      <c r="Q19" s="1">
        <f t="shared" si="2"/>
        <v>24.145</v>
      </c>
      <c r="R19" s="47">
        <v>0.3</v>
      </c>
      <c r="S19" s="1">
        <v>1</v>
      </c>
      <c r="T19" s="1">
        <f t="shared" si="3"/>
        <v>7.2434999999999992</v>
      </c>
      <c r="U19" s="30">
        <f t="shared" si="0"/>
        <v>7.9963183078275574E-3</v>
      </c>
      <c r="V19" s="8">
        <v>0</v>
      </c>
      <c r="W19" s="8">
        <f t="shared" si="1"/>
        <v>10313.575767298451</v>
      </c>
      <c r="X19" s="8">
        <f t="shared" si="4"/>
        <v>10313.575767298451</v>
      </c>
    </row>
    <row r="20" spans="1:24">
      <c r="A20" s="7" t="s">
        <v>488</v>
      </c>
      <c r="B20" s="7" t="s">
        <v>489</v>
      </c>
      <c r="C20" s="7" t="s">
        <v>490</v>
      </c>
      <c r="D20" s="7"/>
      <c r="E20" s="7" t="s">
        <v>489</v>
      </c>
      <c r="F20" s="7" t="s">
        <v>491</v>
      </c>
      <c r="G20" s="7" t="s">
        <v>492</v>
      </c>
      <c r="H20" s="7"/>
      <c r="I20" s="7" t="s">
        <v>493</v>
      </c>
      <c r="J20" s="7" t="s">
        <v>456</v>
      </c>
      <c r="K20" s="1">
        <v>5.306</v>
      </c>
      <c r="L20" s="6">
        <f>K20-1.5</f>
        <v>3.806</v>
      </c>
      <c r="M20" s="6">
        <v>0.5</v>
      </c>
      <c r="N20" s="6">
        <v>1</v>
      </c>
      <c r="O20" s="1">
        <v>0</v>
      </c>
      <c r="P20" s="1">
        <v>0</v>
      </c>
      <c r="Q20" s="1">
        <f t="shared" si="2"/>
        <v>64.03</v>
      </c>
      <c r="R20" s="47">
        <v>0.5</v>
      </c>
      <c r="S20" s="1">
        <v>1</v>
      </c>
      <c r="T20" s="1">
        <f t="shared" si="3"/>
        <v>32.015000000000001</v>
      </c>
      <c r="U20" s="30">
        <f t="shared" si="0"/>
        <v>3.5342324929260614E-2</v>
      </c>
      <c r="V20" s="8">
        <v>0</v>
      </c>
      <c r="W20" s="8">
        <f t="shared" si="1"/>
        <v>45584.196616284935</v>
      </c>
      <c r="X20" s="8">
        <f t="shared" si="4"/>
        <v>45584.196616284935</v>
      </c>
    </row>
    <row r="21" spans="1:24">
      <c r="A21" s="7" t="s">
        <v>502</v>
      </c>
      <c r="B21" s="7" t="s">
        <v>503</v>
      </c>
      <c r="C21" s="7" t="s">
        <v>504</v>
      </c>
      <c r="D21" s="7" t="s">
        <v>505</v>
      </c>
      <c r="E21" s="7" t="s">
        <v>503</v>
      </c>
      <c r="F21" s="7" t="s">
        <v>213</v>
      </c>
      <c r="G21" s="7" t="s">
        <v>506</v>
      </c>
      <c r="H21" s="7"/>
      <c r="I21" s="7" t="s">
        <v>507</v>
      </c>
      <c r="J21" s="7" t="s">
        <v>340</v>
      </c>
      <c r="K21" s="1">
        <v>11.593</v>
      </c>
      <c r="L21" s="6">
        <v>9.5</v>
      </c>
      <c r="M21" s="6">
        <v>0.5</v>
      </c>
      <c r="N21" s="6">
        <v>1.593</v>
      </c>
      <c r="O21" s="1">
        <v>0</v>
      </c>
      <c r="P21" s="1">
        <v>0</v>
      </c>
      <c r="Q21" s="1">
        <f t="shared" si="2"/>
        <v>95.465000000000003</v>
      </c>
      <c r="R21" s="47">
        <v>0.5</v>
      </c>
      <c r="S21" s="1">
        <v>0.9</v>
      </c>
      <c r="T21" s="1">
        <f t="shared" si="3"/>
        <v>42.959250000000004</v>
      </c>
      <c r="U21" s="30">
        <f t="shared" si="0"/>
        <v>4.7424012875756344E-2</v>
      </c>
      <c r="V21" s="8">
        <v>0</v>
      </c>
      <c r="W21" s="8">
        <f t="shared" si="1"/>
        <v>61167.043526101486</v>
      </c>
      <c r="X21" s="8">
        <f t="shared" si="4"/>
        <v>61167.043526101486</v>
      </c>
    </row>
    <row r="22" spans="1:24">
      <c r="A22" s="7" t="s">
        <v>508</v>
      </c>
      <c r="B22" s="7" t="s">
        <v>509</v>
      </c>
      <c r="C22" s="7" t="s">
        <v>510</v>
      </c>
      <c r="D22" s="7" t="s">
        <v>511</v>
      </c>
      <c r="E22" s="7" t="s">
        <v>509</v>
      </c>
      <c r="F22" s="7" t="s">
        <v>213</v>
      </c>
      <c r="G22" s="7" t="s">
        <v>214</v>
      </c>
      <c r="H22" s="7"/>
      <c r="I22" s="7" t="s">
        <v>215</v>
      </c>
      <c r="J22" s="7" t="s">
        <v>216</v>
      </c>
      <c r="K22" s="1">
        <v>2.96</v>
      </c>
      <c r="L22" s="1">
        <v>0</v>
      </c>
      <c r="M22" s="1">
        <v>0.5</v>
      </c>
      <c r="N22" s="1">
        <v>2.46</v>
      </c>
      <c r="O22" s="1">
        <v>0</v>
      </c>
      <c r="P22" s="1">
        <v>0</v>
      </c>
      <c r="Q22" s="1">
        <f t="shared" si="2"/>
        <v>52.3</v>
      </c>
      <c r="R22" s="47">
        <v>0.5</v>
      </c>
      <c r="S22" s="1">
        <v>1</v>
      </c>
      <c r="T22" s="1">
        <f t="shared" si="3"/>
        <v>26.15</v>
      </c>
      <c r="U22" s="30">
        <f t="shared" si="0"/>
        <v>2.8867774383887709E-2</v>
      </c>
      <c r="V22" s="8">
        <v>0</v>
      </c>
      <c r="W22" s="8">
        <f t="shared" si="1"/>
        <v>37233.382524312074</v>
      </c>
      <c r="X22" s="8">
        <f t="shared" si="4"/>
        <v>37233.382524312074</v>
      </c>
    </row>
    <row r="23" spans="1:24">
      <c r="A23" s="7" t="s">
        <v>512</v>
      </c>
      <c r="B23" s="7" t="s">
        <v>513</v>
      </c>
      <c r="C23" s="7" t="s">
        <v>514</v>
      </c>
      <c r="D23" s="7" t="s">
        <v>515</v>
      </c>
      <c r="E23" s="7" t="s">
        <v>513</v>
      </c>
      <c r="F23" s="7" t="s">
        <v>213</v>
      </c>
      <c r="G23" s="7" t="s">
        <v>214</v>
      </c>
      <c r="H23" s="7"/>
      <c r="I23" s="7" t="s">
        <v>215</v>
      </c>
      <c r="J23" s="7" t="s">
        <v>216</v>
      </c>
      <c r="K23" s="1">
        <v>4.306</v>
      </c>
      <c r="L23" s="1">
        <v>0</v>
      </c>
      <c r="M23" s="1">
        <v>0.5</v>
      </c>
      <c r="N23" s="1">
        <f>K23-0.5</f>
        <v>3.806</v>
      </c>
      <c r="O23" s="1">
        <v>0</v>
      </c>
      <c r="P23" s="1">
        <v>0</v>
      </c>
      <c r="Q23" s="1">
        <f t="shared" si="2"/>
        <v>59.03</v>
      </c>
      <c r="R23" s="47">
        <v>0.4</v>
      </c>
      <c r="S23" s="1">
        <v>1</v>
      </c>
      <c r="T23" s="1">
        <f t="shared" si="3"/>
        <v>23.612000000000002</v>
      </c>
      <c r="U23" s="30">
        <f t="shared" si="0"/>
        <v>2.6065999569879799E-2</v>
      </c>
      <c r="V23" s="8">
        <v>0</v>
      </c>
      <c r="W23" s="8">
        <f t="shared" si="1"/>
        <v>33619.679853310015</v>
      </c>
      <c r="X23" s="8">
        <f t="shared" si="4"/>
        <v>33619.679853310015</v>
      </c>
    </row>
    <row r="24" spans="1:24">
      <c r="A24" s="7" t="s">
        <v>516</v>
      </c>
      <c r="B24" s="7" t="s">
        <v>517</v>
      </c>
      <c r="C24" s="7" t="s">
        <v>518</v>
      </c>
      <c r="D24" s="7"/>
      <c r="E24" s="7" t="s">
        <v>517</v>
      </c>
      <c r="F24" s="7" t="s">
        <v>213</v>
      </c>
      <c r="G24" s="7" t="s">
        <v>214</v>
      </c>
      <c r="H24" s="7"/>
      <c r="I24" s="7" t="s">
        <v>215</v>
      </c>
      <c r="J24" s="7" t="s">
        <v>216</v>
      </c>
      <c r="K24" s="1">
        <v>1.3049999999999999</v>
      </c>
      <c r="L24" s="1">
        <v>0</v>
      </c>
      <c r="M24" s="1">
        <v>0.5</v>
      </c>
      <c r="N24" s="1">
        <f>K24-0.5</f>
        <v>0.80499999999999994</v>
      </c>
      <c r="O24" s="1">
        <v>0</v>
      </c>
      <c r="P24" s="1">
        <v>0</v>
      </c>
      <c r="Q24" s="1">
        <f t="shared" si="2"/>
        <v>44.024999999999999</v>
      </c>
      <c r="R24" s="47">
        <v>0.3</v>
      </c>
      <c r="S24" s="1">
        <v>1</v>
      </c>
      <c r="T24" s="1">
        <f t="shared" si="3"/>
        <v>13.2075</v>
      </c>
      <c r="U24" s="30">
        <f t="shared" si="0"/>
        <v>1.4580157941690132E-2</v>
      </c>
      <c r="V24" s="8">
        <v>0</v>
      </c>
      <c r="W24" s="8">
        <f t="shared" si="1"/>
        <v>18805.34989253735</v>
      </c>
      <c r="X24" s="8">
        <f t="shared" si="4"/>
        <v>18805.34989253735</v>
      </c>
    </row>
    <row r="25" spans="1:24">
      <c r="A25" s="7" t="s">
        <v>519</v>
      </c>
      <c r="B25" s="7" t="s">
        <v>520</v>
      </c>
      <c r="C25" s="7" t="s">
        <v>521</v>
      </c>
      <c r="D25" s="7"/>
      <c r="E25" s="7" t="s">
        <v>520</v>
      </c>
      <c r="F25" s="7" t="s">
        <v>213</v>
      </c>
      <c r="G25" s="7" t="s">
        <v>243</v>
      </c>
      <c r="H25" s="7"/>
      <c r="I25" s="7" t="s">
        <v>244</v>
      </c>
      <c r="J25" s="7" t="s">
        <v>245</v>
      </c>
      <c r="K25" s="1">
        <v>4.3390000000000004</v>
      </c>
      <c r="L25" s="1">
        <v>0</v>
      </c>
      <c r="M25" s="1">
        <v>0.5</v>
      </c>
      <c r="N25" s="1">
        <f>K25-0.5</f>
        <v>3.8390000000000004</v>
      </c>
      <c r="O25" s="1">
        <v>0</v>
      </c>
      <c r="P25" s="1">
        <v>0</v>
      </c>
      <c r="Q25" s="1">
        <f t="shared" si="2"/>
        <v>59.195</v>
      </c>
      <c r="R25" s="47">
        <v>0.3</v>
      </c>
      <c r="S25" s="1">
        <v>1</v>
      </c>
      <c r="T25" s="1">
        <f t="shared" si="3"/>
        <v>17.758499999999998</v>
      </c>
      <c r="U25" s="30">
        <f t="shared" si="0"/>
        <v>1.9604144221654681E-2</v>
      </c>
      <c r="V25" s="8">
        <v>0</v>
      </c>
      <c r="W25" s="8">
        <f t="shared" si="1"/>
        <v>25285.239906615523</v>
      </c>
      <c r="X25" s="8">
        <f t="shared" si="4"/>
        <v>25285.239906615523</v>
      </c>
    </row>
    <row r="26" spans="1:24">
      <c r="A26" s="7" t="s">
        <v>522</v>
      </c>
      <c r="B26" s="7" t="s">
        <v>523</v>
      </c>
      <c r="C26" s="7" t="s">
        <v>524</v>
      </c>
      <c r="D26" s="7" t="s">
        <v>525</v>
      </c>
      <c r="E26" s="7" t="s">
        <v>523</v>
      </c>
      <c r="F26" s="7" t="s">
        <v>380</v>
      </c>
      <c r="G26" s="7" t="s">
        <v>214</v>
      </c>
      <c r="H26" s="7"/>
      <c r="I26" s="7" t="s">
        <v>215</v>
      </c>
      <c r="J26" s="7" t="s">
        <v>216</v>
      </c>
      <c r="K26" s="1">
        <v>1.2789999999999999</v>
      </c>
      <c r="L26" s="1">
        <v>0</v>
      </c>
      <c r="M26" s="1">
        <v>0.5</v>
      </c>
      <c r="N26" s="1">
        <f>K26-0.5</f>
        <v>0.77899999999999991</v>
      </c>
      <c r="O26" s="1">
        <v>0</v>
      </c>
      <c r="P26" s="1">
        <v>0</v>
      </c>
      <c r="Q26" s="1">
        <f t="shared" si="2"/>
        <v>43.894999999999996</v>
      </c>
      <c r="R26" s="47">
        <v>0.4</v>
      </c>
      <c r="S26" s="1">
        <v>1</v>
      </c>
      <c r="T26" s="1">
        <f t="shared" si="3"/>
        <v>17.558</v>
      </c>
      <c r="U26" s="30">
        <f t="shared" si="0"/>
        <v>1.9382806219208432E-2</v>
      </c>
      <c r="V26" s="8">
        <v>0</v>
      </c>
      <c r="W26" s="8">
        <f t="shared" si="1"/>
        <v>24999.760243283803</v>
      </c>
      <c r="X26" s="8">
        <f t="shared" si="4"/>
        <v>24999.760243283803</v>
      </c>
    </row>
    <row r="27" spans="1:24">
      <c r="A27" s="7" t="s">
        <v>526</v>
      </c>
      <c r="B27" s="7" t="s">
        <v>527</v>
      </c>
      <c r="C27" s="7" t="s">
        <v>528</v>
      </c>
      <c r="D27" s="7" t="s">
        <v>529</v>
      </c>
      <c r="E27" s="7" t="s">
        <v>527</v>
      </c>
      <c r="F27" s="7" t="s">
        <v>530</v>
      </c>
      <c r="G27" s="7" t="s">
        <v>531</v>
      </c>
      <c r="H27" s="7" t="s">
        <v>532</v>
      </c>
      <c r="I27" s="7" t="s">
        <v>533</v>
      </c>
      <c r="J27" s="7" t="s">
        <v>443</v>
      </c>
      <c r="K27" s="1">
        <v>4.88</v>
      </c>
      <c r="L27" s="6">
        <v>1.5</v>
      </c>
      <c r="M27" s="6">
        <v>0.5</v>
      </c>
      <c r="N27" s="6">
        <v>2.88</v>
      </c>
      <c r="O27" s="1">
        <v>0</v>
      </c>
      <c r="P27" s="1">
        <v>0</v>
      </c>
      <c r="Q27" s="1">
        <f t="shared" si="2"/>
        <v>61.9</v>
      </c>
      <c r="R27" s="47">
        <v>0.2</v>
      </c>
      <c r="S27" s="1">
        <v>1</v>
      </c>
      <c r="T27" s="1">
        <f t="shared" si="3"/>
        <v>12.38</v>
      </c>
      <c r="U27" s="30">
        <f t="shared" si="0"/>
        <v>1.3666655712142635E-2</v>
      </c>
      <c r="V27" s="8">
        <v>0</v>
      </c>
      <c r="W27" s="8">
        <f t="shared" si="1"/>
        <v>17627.123351854054</v>
      </c>
      <c r="X27" s="8">
        <f t="shared" si="4"/>
        <v>17627.123351854054</v>
      </c>
    </row>
    <row r="28" spans="1:24">
      <c r="A28" s="7" t="s">
        <v>534</v>
      </c>
      <c r="B28" s="7" t="s">
        <v>535</v>
      </c>
      <c r="C28" s="7" t="s">
        <v>536</v>
      </c>
      <c r="D28" s="7" t="s">
        <v>537</v>
      </c>
      <c r="E28" s="7"/>
      <c r="F28" s="7"/>
      <c r="G28" s="7" t="s">
        <v>538</v>
      </c>
      <c r="H28" s="7"/>
      <c r="I28" s="7" t="s">
        <v>539</v>
      </c>
      <c r="J28" s="7" t="s">
        <v>384</v>
      </c>
      <c r="K28" s="1">
        <v>1.425</v>
      </c>
      <c r="L28" s="1">
        <v>0</v>
      </c>
      <c r="M28" s="1">
        <v>0</v>
      </c>
      <c r="N28" s="1">
        <v>1.425</v>
      </c>
      <c r="O28" s="1">
        <v>0</v>
      </c>
      <c r="P28" s="1">
        <v>0</v>
      </c>
      <c r="Q28" s="1">
        <f t="shared" si="2"/>
        <v>7.125</v>
      </c>
      <c r="R28" s="47">
        <v>0.3</v>
      </c>
      <c r="S28" s="1">
        <v>1</v>
      </c>
      <c r="T28" s="1">
        <f t="shared" si="3"/>
        <v>2.1374999999999997</v>
      </c>
      <c r="U28" s="30">
        <f t="shared" si="0"/>
        <v>2.3596507742087943E-3</v>
      </c>
      <c r="V28" s="8">
        <v>0</v>
      </c>
      <c r="W28" s="8">
        <f t="shared" si="1"/>
        <v>3043.4552636985486</v>
      </c>
      <c r="X28" s="8">
        <f t="shared" si="4"/>
        <v>3043.4552636985486</v>
      </c>
    </row>
    <row r="29" spans="1:24">
      <c r="A29" s="7" t="s">
        <v>540</v>
      </c>
      <c r="B29" s="7" t="s">
        <v>541</v>
      </c>
      <c r="C29" s="7" t="s">
        <v>542</v>
      </c>
      <c r="D29" s="7" t="s">
        <v>543</v>
      </c>
      <c r="E29" s="7" t="s">
        <v>541</v>
      </c>
      <c r="F29" s="7" t="s">
        <v>326</v>
      </c>
      <c r="G29" s="7" t="s">
        <v>544</v>
      </c>
      <c r="H29" s="7"/>
      <c r="I29" s="7" t="s">
        <v>545</v>
      </c>
      <c r="J29" s="7" t="s">
        <v>340</v>
      </c>
      <c r="K29" s="1">
        <v>4.8470000000000004</v>
      </c>
      <c r="L29" s="1">
        <v>0</v>
      </c>
      <c r="M29" s="1">
        <v>0.5</v>
      </c>
      <c r="N29" s="1">
        <v>4.3470000000000004</v>
      </c>
      <c r="O29" s="1">
        <v>0</v>
      </c>
      <c r="P29" s="1">
        <v>0</v>
      </c>
      <c r="Q29" s="1">
        <f t="shared" si="2"/>
        <v>61.734999999999999</v>
      </c>
      <c r="R29" s="47">
        <v>0.5</v>
      </c>
      <c r="S29" s="1">
        <v>1</v>
      </c>
      <c r="T29" s="1">
        <f t="shared" si="3"/>
        <v>30.8675</v>
      </c>
      <c r="U29" s="30">
        <f t="shared" si="0"/>
        <v>3.4075565039948526E-2</v>
      </c>
      <c r="V29" s="8">
        <v>0</v>
      </c>
      <c r="W29" s="8">
        <f t="shared" si="1"/>
        <v>43950.341685246771</v>
      </c>
      <c r="X29" s="8">
        <f t="shared" si="4"/>
        <v>43950.341685246771</v>
      </c>
    </row>
    <row r="30" spans="1:24">
      <c r="A30" s="7" t="s">
        <v>546</v>
      </c>
      <c r="B30" s="7" t="s">
        <v>547</v>
      </c>
      <c r="C30" s="7" t="s">
        <v>548</v>
      </c>
      <c r="D30" s="7" t="s">
        <v>549</v>
      </c>
      <c r="E30" s="7" t="s">
        <v>547</v>
      </c>
      <c r="F30" s="7" t="s">
        <v>213</v>
      </c>
      <c r="G30" s="7" t="s">
        <v>214</v>
      </c>
      <c r="H30" s="7"/>
      <c r="I30" s="7" t="s">
        <v>215</v>
      </c>
      <c r="J30" s="7" t="s">
        <v>216</v>
      </c>
      <c r="K30" s="1">
        <v>7.7910000000000004</v>
      </c>
      <c r="L30" s="1">
        <v>0</v>
      </c>
      <c r="M30" s="1">
        <v>0.5</v>
      </c>
      <c r="N30" s="1">
        <f>K30-0.5</f>
        <v>7.2910000000000004</v>
      </c>
      <c r="O30" s="1">
        <v>0</v>
      </c>
      <c r="P30" s="1">
        <v>0</v>
      </c>
      <c r="Q30" s="1">
        <f t="shared" si="2"/>
        <v>76.454999999999998</v>
      </c>
      <c r="R30" s="47">
        <v>1</v>
      </c>
      <c r="S30" s="1">
        <v>1</v>
      </c>
      <c r="T30" s="1">
        <f t="shared" si="3"/>
        <v>76.454999999999998</v>
      </c>
      <c r="U30" s="30">
        <f t="shared" si="0"/>
        <v>8.4400982429068253E-2</v>
      </c>
      <c r="V30" s="8">
        <v>0</v>
      </c>
      <c r="W30" s="8">
        <f t="shared" si="1"/>
        <v>108859.58932681757</v>
      </c>
      <c r="X30" s="8">
        <f t="shared" si="4"/>
        <v>108859.58932681757</v>
      </c>
    </row>
    <row r="31" spans="1:24">
      <c r="A31" s="7" t="s">
        <v>550</v>
      </c>
      <c r="B31" s="7" t="s">
        <v>445</v>
      </c>
      <c r="C31" s="7" t="s">
        <v>232</v>
      </c>
      <c r="D31" s="7" t="s">
        <v>233</v>
      </c>
      <c r="E31" s="7" t="s">
        <v>231</v>
      </c>
      <c r="F31" s="7" t="s">
        <v>326</v>
      </c>
      <c r="G31" s="7" t="s">
        <v>551</v>
      </c>
      <c r="H31" s="7"/>
      <c r="I31" s="7" t="s">
        <v>236</v>
      </c>
      <c r="J31" s="7" t="s">
        <v>237</v>
      </c>
      <c r="K31" s="1">
        <v>9.8510000000000009</v>
      </c>
      <c r="L31" s="1">
        <v>9.8510000000000009</v>
      </c>
      <c r="M31" s="1">
        <v>0</v>
      </c>
      <c r="N31" s="1">
        <v>0</v>
      </c>
      <c r="O31" s="1">
        <v>0</v>
      </c>
      <c r="P31" s="1">
        <v>0</v>
      </c>
      <c r="Q31" s="1">
        <f t="shared" si="2"/>
        <v>49.255000000000003</v>
      </c>
      <c r="R31" s="47">
        <v>1</v>
      </c>
      <c r="S31" s="1">
        <v>1</v>
      </c>
      <c r="T31" s="1">
        <f t="shared" si="3"/>
        <v>49.255000000000003</v>
      </c>
      <c r="U31" s="30">
        <f t="shared" si="0"/>
        <v>5.4374081349077986E-2</v>
      </c>
      <c r="V31" s="8">
        <v>0</v>
      </c>
      <c r="W31" s="8">
        <f t="shared" si="1"/>
        <v>70131.176146653597</v>
      </c>
      <c r="X31" s="8">
        <f t="shared" si="4"/>
        <v>70131.176146653597</v>
      </c>
    </row>
    <row r="32" spans="1:24">
      <c r="A32" s="7" t="s">
        <v>552</v>
      </c>
      <c r="B32" s="7" t="s">
        <v>553</v>
      </c>
      <c r="C32" s="7" t="s">
        <v>554</v>
      </c>
      <c r="D32" s="7" t="s">
        <v>555</v>
      </c>
      <c r="E32" s="7" t="s">
        <v>556</v>
      </c>
      <c r="F32" s="7" t="s">
        <v>213</v>
      </c>
      <c r="G32" s="7" t="s">
        <v>557</v>
      </c>
      <c r="H32" s="7"/>
      <c r="I32" s="7" t="s">
        <v>558</v>
      </c>
      <c r="J32" s="7" t="s">
        <v>559</v>
      </c>
      <c r="K32" s="1">
        <v>2.6339999999999999</v>
      </c>
      <c r="L32" s="1">
        <v>1.5</v>
      </c>
      <c r="M32" s="1">
        <v>0</v>
      </c>
      <c r="N32" s="1">
        <f>K32-L32</f>
        <v>1.1339999999999999</v>
      </c>
      <c r="O32" s="1">
        <v>0</v>
      </c>
      <c r="P32" s="1">
        <v>0</v>
      </c>
      <c r="Q32" s="1">
        <f t="shared" si="2"/>
        <v>13.17</v>
      </c>
      <c r="R32" s="47">
        <v>0.4</v>
      </c>
      <c r="S32" s="1">
        <v>1</v>
      </c>
      <c r="T32" s="1">
        <f t="shared" si="3"/>
        <v>5.2680000000000007</v>
      </c>
      <c r="U32" s="30">
        <f t="shared" si="0"/>
        <v>5.8155042238745881E-3</v>
      </c>
      <c r="V32" s="8">
        <v>0</v>
      </c>
      <c r="W32" s="8">
        <f t="shared" si="1"/>
        <v>7500.7823762170565</v>
      </c>
      <c r="X32" s="8">
        <f t="shared" si="4"/>
        <v>7500.7823762170565</v>
      </c>
    </row>
    <row r="33" spans="1:24">
      <c r="A33" s="7" t="s">
        <v>560</v>
      </c>
      <c r="B33" s="7" t="s">
        <v>561</v>
      </c>
      <c r="C33" s="7" t="s">
        <v>528</v>
      </c>
      <c r="D33" s="7" t="s">
        <v>529</v>
      </c>
      <c r="E33" s="7" t="s">
        <v>527</v>
      </c>
      <c r="F33" s="7" t="s">
        <v>530</v>
      </c>
      <c r="G33" s="7" t="s">
        <v>531</v>
      </c>
      <c r="H33" s="7" t="s">
        <v>532</v>
      </c>
      <c r="I33" s="7" t="s">
        <v>533</v>
      </c>
      <c r="J33" s="7" t="s">
        <v>443</v>
      </c>
      <c r="K33" s="1">
        <v>4.8819999999999997</v>
      </c>
      <c r="L33" s="1">
        <v>4.8819999999999997</v>
      </c>
      <c r="M33" s="1">
        <v>0</v>
      </c>
      <c r="N33" s="1">
        <v>0</v>
      </c>
      <c r="O33" s="1">
        <v>0</v>
      </c>
      <c r="P33" s="1">
        <v>0</v>
      </c>
      <c r="Q33" s="1">
        <f t="shared" si="2"/>
        <v>24.409999999999997</v>
      </c>
      <c r="R33" s="47">
        <v>0.2</v>
      </c>
      <c r="S33" s="1">
        <v>1</v>
      </c>
      <c r="T33" s="1">
        <f t="shared" si="3"/>
        <v>4.8819999999999997</v>
      </c>
      <c r="U33" s="30">
        <f t="shared" si="0"/>
        <v>5.389387171783549E-3</v>
      </c>
      <c r="V33" s="8">
        <v>0</v>
      </c>
      <c r="W33" s="8">
        <f t="shared" si="1"/>
        <v>6951.1806303514932</v>
      </c>
      <c r="X33" s="8">
        <f t="shared" si="4"/>
        <v>6951.1806303514932</v>
      </c>
    </row>
    <row r="34" spans="1:24">
      <c r="A34" s="7" t="s">
        <v>562</v>
      </c>
      <c r="B34" s="7" t="s">
        <v>563</v>
      </c>
      <c r="C34" s="7" t="s">
        <v>564</v>
      </c>
      <c r="D34" s="7" t="s">
        <v>565</v>
      </c>
      <c r="E34" s="7" t="s">
        <v>566</v>
      </c>
      <c r="F34" s="7" t="s">
        <v>567</v>
      </c>
      <c r="G34" s="7" t="s">
        <v>243</v>
      </c>
      <c r="H34" s="7"/>
      <c r="I34" s="7" t="s">
        <v>244</v>
      </c>
      <c r="J34" s="7" t="s">
        <v>245</v>
      </c>
      <c r="K34" s="1">
        <v>4.9039999999999999</v>
      </c>
      <c r="L34" s="1">
        <v>0</v>
      </c>
      <c r="M34" s="1">
        <v>0.5</v>
      </c>
      <c r="N34" s="1">
        <f>K34-0.5</f>
        <v>4.4039999999999999</v>
      </c>
      <c r="O34" s="1">
        <v>0</v>
      </c>
      <c r="P34" s="1">
        <v>0</v>
      </c>
      <c r="Q34" s="1">
        <f t="shared" si="2"/>
        <v>62.019999999999996</v>
      </c>
      <c r="R34" s="47">
        <v>0.1</v>
      </c>
      <c r="S34" s="1">
        <v>1</v>
      </c>
      <c r="T34" s="1">
        <f t="shared" si="3"/>
        <v>6.202</v>
      </c>
      <c r="U34" s="30">
        <f t="shared" si="0"/>
        <v>6.8465750183124893E-3</v>
      </c>
      <c r="V34" s="8">
        <v>0</v>
      </c>
      <c r="W34" s="8">
        <f t="shared" si="1"/>
        <v>8830.647740565335</v>
      </c>
      <c r="X34" s="8">
        <f t="shared" si="4"/>
        <v>8830.647740565335</v>
      </c>
    </row>
    <row r="35" spans="1:24">
      <c r="A35" s="7" t="s">
        <v>568</v>
      </c>
      <c r="B35" s="7" t="s">
        <v>569</v>
      </c>
      <c r="C35" s="7" t="s">
        <v>570</v>
      </c>
      <c r="D35" s="7" t="s">
        <v>571</v>
      </c>
      <c r="E35" s="7"/>
      <c r="F35" s="7"/>
      <c r="G35" s="7" t="s">
        <v>572</v>
      </c>
      <c r="H35" s="7" t="s">
        <v>573</v>
      </c>
      <c r="I35" s="7" t="s">
        <v>574</v>
      </c>
      <c r="J35" s="7" t="s">
        <v>575</v>
      </c>
      <c r="K35" s="1">
        <v>5.008</v>
      </c>
      <c r="L35" s="1">
        <v>0</v>
      </c>
      <c r="M35" s="1">
        <v>0.5</v>
      </c>
      <c r="N35" s="1">
        <f>K35-0.5</f>
        <v>4.508</v>
      </c>
      <c r="O35" s="1">
        <v>0</v>
      </c>
      <c r="P35" s="1">
        <v>0</v>
      </c>
      <c r="Q35" s="1">
        <f t="shared" si="2"/>
        <v>62.54</v>
      </c>
      <c r="R35" s="47">
        <v>0.1</v>
      </c>
      <c r="S35" s="1">
        <v>0.9</v>
      </c>
      <c r="T35" s="1">
        <f t="shared" si="3"/>
        <v>5.6286000000000005</v>
      </c>
      <c r="U35" s="30">
        <f t="shared" si="0"/>
        <v>6.2135814492218118E-3</v>
      </c>
      <c r="V35" s="8">
        <v>0</v>
      </c>
      <c r="W35" s="8">
        <f t="shared" si="1"/>
        <v>8014.2186185982009</v>
      </c>
      <c r="X35" s="8">
        <f t="shared" si="4"/>
        <v>8014.2186185982009</v>
      </c>
    </row>
    <row r="36" spans="1:24">
      <c r="A36" s="7" t="s">
        <v>576</v>
      </c>
      <c r="B36" s="7" t="s">
        <v>577</v>
      </c>
      <c r="C36" s="7" t="s">
        <v>578</v>
      </c>
      <c r="D36" s="7" t="s">
        <v>579</v>
      </c>
      <c r="E36" s="7" t="s">
        <v>580</v>
      </c>
      <c r="F36" s="7" t="s">
        <v>581</v>
      </c>
      <c r="G36" s="7" t="s">
        <v>582</v>
      </c>
      <c r="H36" s="7"/>
      <c r="I36" s="7" t="s">
        <v>583</v>
      </c>
      <c r="J36" s="7" t="s">
        <v>575</v>
      </c>
      <c r="K36" s="1">
        <v>1.0109999999999999</v>
      </c>
      <c r="L36" s="1">
        <v>0</v>
      </c>
      <c r="M36" s="1">
        <v>0.5</v>
      </c>
      <c r="N36" s="1">
        <f>1.011-0.5</f>
        <v>0.5109999999999999</v>
      </c>
      <c r="O36" s="1">
        <v>0</v>
      </c>
      <c r="P36" s="1">
        <v>0</v>
      </c>
      <c r="Q36" s="1">
        <f t="shared" si="2"/>
        <v>42.555</v>
      </c>
      <c r="R36" s="47">
        <v>0.1</v>
      </c>
      <c r="S36" s="1">
        <v>0.9</v>
      </c>
      <c r="T36" s="1">
        <f t="shared" si="3"/>
        <v>3.8299500000000006</v>
      </c>
      <c r="U36" s="30">
        <f t="shared" si="0"/>
        <v>4.2279974187981167E-3</v>
      </c>
      <c r="V36" s="8">
        <v>0</v>
      </c>
      <c r="W36" s="8">
        <f t="shared" si="1"/>
        <v>5453.2311051238639</v>
      </c>
      <c r="X36" s="8">
        <f t="shared" si="4"/>
        <v>5453.2311051238639</v>
      </c>
    </row>
    <row r="37" spans="1:24">
      <c r="A37" s="7" t="s">
        <v>584</v>
      </c>
      <c r="B37" s="7" t="s">
        <v>585</v>
      </c>
      <c r="C37" s="7" t="s">
        <v>586</v>
      </c>
      <c r="D37" s="7"/>
      <c r="E37" s="7" t="s">
        <v>587</v>
      </c>
      <c r="F37" s="7" t="s">
        <v>213</v>
      </c>
      <c r="G37" s="7" t="s">
        <v>588</v>
      </c>
      <c r="H37" s="7" t="s">
        <v>589</v>
      </c>
      <c r="I37" s="7" t="s">
        <v>590</v>
      </c>
      <c r="J37" s="7" t="s">
        <v>591</v>
      </c>
      <c r="K37" s="1">
        <v>0.85699999999999998</v>
      </c>
      <c r="L37" s="1">
        <v>0</v>
      </c>
      <c r="M37" s="1">
        <v>0.5</v>
      </c>
      <c r="N37" s="1">
        <v>0.35699999999999998</v>
      </c>
      <c r="O37" s="1">
        <v>0</v>
      </c>
      <c r="P37" s="1">
        <v>0</v>
      </c>
      <c r="Q37" s="1">
        <f t="shared" si="2"/>
        <v>41.784999999999997</v>
      </c>
      <c r="R37" s="47">
        <v>0.1</v>
      </c>
      <c r="S37" s="1">
        <v>1</v>
      </c>
      <c r="T37" s="1">
        <f t="shared" si="3"/>
        <v>4.1784999999999997</v>
      </c>
      <c r="U37" s="30">
        <f t="shared" si="0"/>
        <v>4.6127722853948295E-3</v>
      </c>
      <c r="V37" s="8">
        <v>0</v>
      </c>
      <c r="W37" s="8">
        <f t="shared" si="1"/>
        <v>5949.5100909307075</v>
      </c>
      <c r="X37" s="8">
        <f t="shared" si="4"/>
        <v>5949.5100909307075</v>
      </c>
    </row>
    <row r="38" spans="1:24">
      <c r="A38" s="7" t="s">
        <v>598</v>
      </c>
      <c r="B38" s="7" t="s">
        <v>599</v>
      </c>
      <c r="C38" s="7" t="s">
        <v>462</v>
      </c>
      <c r="D38" s="7"/>
      <c r="E38" s="7" t="s">
        <v>463</v>
      </c>
      <c r="F38" s="7" t="s">
        <v>464</v>
      </c>
      <c r="G38" s="7" t="s">
        <v>465</v>
      </c>
      <c r="H38" s="7"/>
      <c r="I38" s="7" t="s">
        <v>466</v>
      </c>
      <c r="J38" s="7" t="s">
        <v>467</v>
      </c>
      <c r="K38" s="1">
        <v>21.591999999999999</v>
      </c>
      <c r="L38" s="1">
        <v>21.591999999999999</v>
      </c>
      <c r="M38" s="1">
        <v>0</v>
      </c>
      <c r="N38" s="1">
        <v>0</v>
      </c>
      <c r="O38" s="1">
        <v>0</v>
      </c>
      <c r="P38" s="1">
        <v>0</v>
      </c>
      <c r="Q38" s="1">
        <f t="shared" si="2"/>
        <v>107.96</v>
      </c>
      <c r="R38" s="47">
        <v>0.2</v>
      </c>
      <c r="S38" s="1">
        <v>0.9</v>
      </c>
      <c r="T38" s="1">
        <f t="shared" si="3"/>
        <v>19.4328</v>
      </c>
      <c r="U38" s="30">
        <f t="shared" si="0"/>
        <v>2.1452454533354232E-2</v>
      </c>
      <c r="V38" s="8">
        <v>0</v>
      </c>
      <c r="W38" s="8">
        <f t="shared" si="1"/>
        <v>27669.173075275401</v>
      </c>
      <c r="X38" s="8">
        <f t="shared" si="4"/>
        <v>27669.173075275401</v>
      </c>
    </row>
    <row r="39" spans="1:24">
      <c r="A39" s="7" t="s">
        <v>600</v>
      </c>
      <c r="B39" s="7" t="s">
        <v>601</v>
      </c>
      <c r="C39" s="7" t="s">
        <v>602</v>
      </c>
      <c r="D39" s="7" t="s">
        <v>603</v>
      </c>
      <c r="E39" s="7"/>
      <c r="F39" s="7"/>
      <c r="G39" s="7" t="s">
        <v>243</v>
      </c>
      <c r="H39" s="7"/>
      <c r="I39" s="7" t="s">
        <v>244</v>
      </c>
      <c r="J39" s="7" t="s">
        <v>245</v>
      </c>
      <c r="K39" s="1">
        <v>2.5030000000000001</v>
      </c>
      <c r="L39" s="6">
        <v>0.6</v>
      </c>
      <c r="M39" s="6">
        <v>0.5</v>
      </c>
      <c r="N39" s="6">
        <f>K39-1.1</f>
        <v>1.403</v>
      </c>
      <c r="O39" s="1">
        <v>0</v>
      </c>
      <c r="P39" s="1">
        <v>0</v>
      </c>
      <c r="Q39" s="1">
        <f t="shared" si="2"/>
        <v>50.015000000000001</v>
      </c>
      <c r="R39" s="47">
        <v>0.5</v>
      </c>
      <c r="S39" s="1">
        <v>1</v>
      </c>
      <c r="T39" s="1">
        <f t="shared" si="3"/>
        <v>25.0075</v>
      </c>
      <c r="U39" s="30">
        <f t="shared" si="0"/>
        <v>2.7606534145509443E-2</v>
      </c>
      <c r="V39" s="8">
        <v>0</v>
      </c>
      <c r="W39" s="8">
        <f t="shared" si="1"/>
        <v>35606.6467868732</v>
      </c>
      <c r="X39" s="8">
        <f t="shared" si="4"/>
        <v>35606.6467868732</v>
      </c>
    </row>
    <row r="40" spans="1:24">
      <c r="A40" s="7" t="s">
        <v>604</v>
      </c>
      <c r="B40" s="7" t="s">
        <v>605</v>
      </c>
      <c r="C40" s="7" t="s">
        <v>606</v>
      </c>
      <c r="D40" s="7" t="s">
        <v>607</v>
      </c>
      <c r="E40" s="7" t="s">
        <v>605</v>
      </c>
      <c r="F40" s="7" t="s">
        <v>380</v>
      </c>
      <c r="G40" s="7" t="s">
        <v>214</v>
      </c>
      <c r="H40" s="7"/>
      <c r="I40" s="7" t="s">
        <v>215</v>
      </c>
      <c r="J40" s="7" t="s">
        <v>216</v>
      </c>
      <c r="K40" s="1">
        <v>2.4849999999999999</v>
      </c>
      <c r="L40" s="1">
        <v>0</v>
      </c>
      <c r="M40" s="1">
        <v>0.5</v>
      </c>
      <c r="N40" s="1">
        <f>K40-M40</f>
        <v>1.9849999999999999</v>
      </c>
      <c r="O40" s="1">
        <v>0</v>
      </c>
      <c r="P40" s="1">
        <v>0</v>
      </c>
      <c r="Q40" s="1">
        <f t="shared" si="2"/>
        <v>49.924999999999997</v>
      </c>
      <c r="R40" s="47">
        <v>0.1</v>
      </c>
      <c r="S40" s="1">
        <v>1</v>
      </c>
      <c r="T40" s="1">
        <f t="shared" si="3"/>
        <v>4.9924999999999997</v>
      </c>
      <c r="U40" s="30">
        <f t="shared" si="0"/>
        <v>5.5113714574210092E-3</v>
      </c>
      <c r="V40" s="8">
        <v>0</v>
      </c>
      <c r="W40" s="8">
        <f t="shared" si="1"/>
        <v>7108.5148088959095</v>
      </c>
      <c r="X40" s="8">
        <f t="shared" si="4"/>
        <v>7108.5148088959095</v>
      </c>
    </row>
    <row r="41" spans="1:24">
      <c r="U41" s="49" t="s">
        <v>171</v>
      </c>
      <c r="V41" s="31">
        <f>SUM(V3:V40)</f>
        <v>0</v>
      </c>
      <c r="W41" s="8">
        <f>Overview!D17-V41</f>
        <v>1289790.547382605</v>
      </c>
      <c r="X41" s="31">
        <f>SUM(X3:X40)</f>
        <v>1289790.5473826055</v>
      </c>
    </row>
    <row r="42" spans="1:24">
      <c r="K42" s="45"/>
      <c r="L42" s="45" t="s">
        <v>310</v>
      </c>
      <c r="M42" s="45"/>
      <c r="N42" s="45"/>
      <c r="O42" s="45"/>
      <c r="P42" s="45"/>
      <c r="U42" s="3"/>
      <c r="V42" s="3"/>
      <c r="X42" s="23"/>
    </row>
    <row r="43" spans="1:24">
      <c r="L43" t="s">
        <v>311</v>
      </c>
      <c r="M43" s="45"/>
    </row>
    <row r="44" spans="1:24">
      <c r="L44" t="s">
        <v>312</v>
      </c>
    </row>
    <row r="45" spans="1:24">
      <c r="L45" t="s">
        <v>313</v>
      </c>
    </row>
    <row r="46" spans="1:24">
      <c r="L46" t="s">
        <v>314</v>
      </c>
    </row>
    <row r="48" spans="1:24">
      <c r="S48" t="s">
        <v>315</v>
      </c>
      <c r="T48">
        <f>SUM(T3:T40)</f>
        <v>905.85438462465561</v>
      </c>
    </row>
    <row r="49" spans="12:14">
      <c r="L49">
        <f>SUM(L3:L40)</f>
        <v>100.884</v>
      </c>
      <c r="M49">
        <f t="shared" ref="M49:N49" si="5">SUM(M3:M40)</f>
        <v>10.5</v>
      </c>
      <c r="N49">
        <f t="shared" si="5"/>
        <v>51.535000000000004</v>
      </c>
    </row>
  </sheetData>
  <pageMargins left="0.7" right="0.7" top="0.75" bottom="0.75" header="0.3" footer="0.3"/>
  <pageSetup paperSize="3" scale="87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651e00be-d75e-41dd-9721-fe5c83b89ddb" xsi:nil="true"/>
    <lcf76f155ced4ddcb4097134ff3c332f xmlns="03ba3528-c5c4-4c72-81a0-1228610b591f">
      <Terms xmlns="http://schemas.microsoft.com/office/infopath/2007/PartnerControls"/>
    </lcf76f155ced4ddcb4097134ff3c332f>
    <DocumentDescription xmlns="651e00be-d75e-41dd-9721-fe5c83b89ddb" xsi:nil="true"/>
    <TaxCatchAll xmlns="fad2754c-53d8-4f39-b3c2-aa9306e808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0E6754791CB4E8A9B7B36B07D3141" ma:contentTypeVersion="18" ma:contentTypeDescription="Create a new document." ma:contentTypeScope="" ma:versionID="c5875d4540467aa4bfe4af6266c11116">
  <xsd:schema xmlns:xsd="http://www.w3.org/2001/XMLSchema" xmlns:xs="http://www.w3.org/2001/XMLSchema" xmlns:p="http://schemas.microsoft.com/office/2006/metadata/properties" xmlns:ns2="651e00be-d75e-41dd-9721-fe5c83b89ddb" xmlns:ns3="fad2754c-53d8-4f39-b3c2-aa9306e808d2" xmlns:ns4="03ba3528-c5c4-4c72-81a0-1228610b591f" targetNamespace="http://schemas.microsoft.com/office/2006/metadata/properties" ma:root="true" ma:fieldsID="a5c4d7a1609bd48de52d4903093a3f85" ns2:_="" ns3:_="" ns4:_="">
    <xsd:import namespace="651e00be-d75e-41dd-9721-fe5c83b89ddb"/>
    <xsd:import namespace="fad2754c-53d8-4f39-b3c2-aa9306e808d2"/>
    <xsd:import namespace="03ba3528-c5c4-4c72-81a0-1228610b591f"/>
    <xsd:element name="properties">
      <xsd:complexType>
        <xsd:sequence>
          <xsd:element name="documentManagement">
            <xsd:complexType>
              <xsd:all>
                <xsd:element ref="ns2:DocumentDescription" minOccurs="0"/>
                <xsd:element ref="ns2:Note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e00be-d75e-41dd-9721-fe5c83b89ddb" elementFormDefault="qualified">
    <xsd:import namespace="http://schemas.microsoft.com/office/2006/documentManagement/types"/>
    <xsd:import namespace="http://schemas.microsoft.com/office/infopath/2007/PartnerControls"/>
    <xsd:element name="DocumentDescription" ma:index="8" nillable="true" ma:displayName="Document Description" ma:format="Dropdown" ma:internalName="DocumentDescription">
      <xsd:simpleType>
        <xsd:restriction base="dms:Note">
          <xsd:maxLength value="255"/>
        </xsd:restriction>
      </xsd:simpleType>
    </xsd:element>
    <xsd:element name="Notes" ma:index="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2754c-53d8-4f39-b3c2-aa9306e80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a51128a-42a5-469d-a03d-073cbfcadcbe}" ma:internalName="TaxCatchAll" ma:showField="CatchAllData" ma:web="fad2754c-53d8-4f39-b3c2-aa9306e80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a3528-c5c4-4c72-81a0-1228610b591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99bc72-bf9c-4932-92a3-617ca24af7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C82768-DC14-4128-B47B-0975D16D2C3F}"/>
</file>

<file path=customXml/itemProps2.xml><?xml version="1.0" encoding="utf-8"?>
<ds:datastoreItem xmlns:ds="http://schemas.openxmlformats.org/officeDocument/2006/customXml" ds:itemID="{40187B7C-6097-4BD2-B9EA-29EA5A70EE53}"/>
</file>

<file path=customXml/itemProps3.xml><?xml version="1.0" encoding="utf-8"?>
<ds:datastoreItem xmlns:ds="http://schemas.openxmlformats.org/officeDocument/2006/customXml" ds:itemID="{5549A748-1973-48BF-9339-93DD087168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2025-11-25T14:51:14Z</dcterms:created>
  <dcterms:modified xsi:type="dcterms:W3CDTF">2026-08-27T20:36:39Z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0x01010069B0E6754791CB4E8A9B7B36B07D3141</vt:lpwstr>
  </property>
  <property fmtid="{D5CDD505-2E9C-101B-9397-08002B2CF9AE}" pid="3" name="MediaServiceImageTags">
    <vt:lpwstr/>
  </property>
</Properties>
</file>